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C:\_LRC\2. technical assistance\British RC SAHEL program\2. MAURITANIE clubs des meres\4. plan affaires\"/>
    </mc:Choice>
  </mc:AlternateContent>
  <xr:revisionPtr revIDLastSave="0" documentId="13_ncr:1_{03D0D67C-AFD8-46DC-ACA3-B0E2A85B71EA}" xr6:coauthVersionLast="36" xr6:coauthVersionMax="36" xr10:uidLastSave="{00000000-0000-0000-0000-000000000000}"/>
  <bookViews>
    <workbookView xWindow="0" yWindow="465" windowWidth="28800" windowHeight="17460" xr2:uid="{00000000-000D-0000-FFFF-FFFF00000000}"/>
  </bookViews>
  <sheets>
    <sheet name="Info general" sheetId="17" r:id="rId1"/>
    <sheet name="Plan economique (PAS)" sheetId="18" r:id="rId2"/>
    <sheet name="Apport CRM" sheetId="20" r:id="rId3"/>
  </sheets>
  <definedNames>
    <definedName name="_xlnm._FilterDatabase" localSheetId="1" hidden="1">'Plan economique (PAS)'!$A$9:$I$64</definedName>
    <definedName name="_xlnm.Print_Area" localSheetId="0">'Info general'!$A$1:$H$19</definedName>
    <definedName name="_xlnm.Print_Area" localSheetId="1">'Plan economique (PAS)'!$A$1:$M$64</definedName>
  </definedNames>
  <calcPr calcId="191029" concurrentCalc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69" i="18" l="1"/>
  <c r="L69" i="18"/>
  <c r="L68" i="18"/>
  <c r="K68" i="18"/>
  <c r="M71" i="18"/>
  <c r="L71" i="18"/>
  <c r="K71" i="18"/>
  <c r="H71" i="18"/>
  <c r="M72" i="18"/>
  <c r="L72" i="18"/>
  <c r="K72" i="18"/>
  <c r="M70" i="18"/>
  <c r="L70" i="18"/>
  <c r="K70" i="18"/>
  <c r="H72" i="18"/>
  <c r="H70" i="18"/>
  <c r="M73" i="18"/>
  <c r="L73" i="18"/>
  <c r="K73" i="18"/>
  <c r="H73" i="18"/>
  <c r="K57" i="18"/>
  <c r="H57" i="18"/>
  <c r="E51" i="18"/>
  <c r="E52" i="18"/>
  <c r="G53" i="18"/>
  <c r="L53" i="18"/>
  <c r="M53" i="18"/>
  <c r="K53" i="18"/>
  <c r="G52" i="18"/>
  <c r="L52" i="18"/>
  <c r="M52" i="18"/>
  <c r="K52" i="18"/>
  <c r="G39" i="18"/>
  <c r="H39" i="18"/>
  <c r="K39" i="18"/>
  <c r="G40" i="18"/>
  <c r="H40" i="18"/>
  <c r="K40" i="18"/>
  <c r="G41" i="18"/>
  <c r="H41" i="18"/>
  <c r="K41" i="18"/>
  <c r="G42" i="18"/>
  <c r="H42" i="18"/>
  <c r="K42" i="18"/>
  <c r="G43" i="18"/>
  <c r="H43" i="18"/>
  <c r="K43" i="18"/>
  <c r="G44" i="18"/>
  <c r="H44" i="18"/>
  <c r="K44" i="18"/>
  <c r="G45" i="18"/>
  <c r="H45" i="18"/>
  <c r="K45" i="18"/>
  <c r="G46" i="18"/>
  <c r="H46" i="18"/>
  <c r="K46" i="18"/>
  <c r="G47" i="18"/>
  <c r="H47" i="18"/>
  <c r="K47" i="18"/>
  <c r="G48" i="18"/>
  <c r="H48" i="18"/>
  <c r="K48" i="18"/>
  <c r="G55" i="18"/>
  <c r="M6" i="18"/>
  <c r="M55" i="18"/>
  <c r="K55" i="18"/>
  <c r="G54" i="18"/>
  <c r="L54" i="18"/>
  <c r="M54" i="18"/>
  <c r="K54" i="18"/>
  <c r="C45" i="18"/>
  <c r="C46" i="18"/>
  <c r="C16" i="18"/>
  <c r="C17" i="18"/>
  <c r="G17" i="18"/>
  <c r="H17" i="18"/>
  <c r="G18" i="18"/>
  <c r="H18" i="18"/>
  <c r="C20" i="18"/>
  <c r="E20" i="18"/>
  <c r="G20" i="18"/>
  <c r="H20" i="18"/>
  <c r="E21" i="18"/>
  <c r="G21" i="18"/>
  <c r="H21" i="18"/>
  <c r="G22" i="18"/>
  <c r="H22" i="18"/>
  <c r="G23" i="18"/>
  <c r="H23" i="18"/>
  <c r="E24" i="18"/>
  <c r="G24" i="18"/>
  <c r="H24" i="18"/>
  <c r="G26" i="18"/>
  <c r="H26" i="18"/>
  <c r="G27" i="18"/>
  <c r="H27" i="18"/>
  <c r="C39" i="18"/>
  <c r="C40" i="18"/>
  <c r="C19" i="18"/>
  <c r="C41" i="18"/>
  <c r="C42" i="18"/>
  <c r="C43" i="18"/>
  <c r="C44" i="18"/>
  <c r="E29" i="18"/>
  <c r="G29" i="18"/>
  <c r="H29" i="18"/>
  <c r="G11" i="18"/>
  <c r="H11" i="18"/>
  <c r="C12" i="18"/>
  <c r="G12" i="18"/>
  <c r="H12" i="18"/>
  <c r="G16" i="18"/>
  <c r="H16" i="18"/>
  <c r="E19" i="18"/>
  <c r="G19" i="18"/>
  <c r="H19" i="18"/>
  <c r="G25" i="18"/>
  <c r="H25" i="18"/>
  <c r="G28" i="18"/>
  <c r="H28" i="18"/>
  <c r="H34" i="18"/>
  <c r="G51" i="18"/>
  <c r="L51" i="18"/>
  <c r="M51" i="18"/>
  <c r="K51" i="18"/>
  <c r="L32" i="18"/>
  <c r="M32" i="18"/>
  <c r="K32" i="18"/>
  <c r="G32" i="18"/>
  <c r="F25" i="17"/>
  <c r="H25" i="17"/>
  <c r="F26" i="17"/>
  <c r="H26" i="17"/>
  <c r="F27" i="17"/>
  <c r="H27" i="17"/>
  <c r="H29" i="17"/>
  <c r="F29" i="17"/>
  <c r="H60" i="18"/>
  <c r="C48" i="18"/>
  <c r="H61" i="18"/>
  <c r="H62" i="18"/>
  <c r="H64" i="18"/>
  <c r="D43" i="20"/>
  <c r="B41" i="20"/>
  <c r="B40" i="20"/>
  <c r="B39" i="20"/>
  <c r="B38" i="20"/>
  <c r="B33" i="20"/>
  <c r="B32" i="20"/>
  <c r="B27" i="20"/>
  <c r="D27" i="20"/>
  <c r="E27" i="20"/>
  <c r="B28" i="20"/>
  <c r="D28" i="20"/>
  <c r="E28" i="20"/>
  <c r="B29" i="20"/>
  <c r="D29" i="20"/>
  <c r="E29" i="20"/>
  <c r="E26" i="20"/>
  <c r="A37" i="20"/>
  <c r="A38" i="20"/>
  <c r="A39" i="20"/>
  <c r="A40" i="20"/>
  <c r="A41" i="20"/>
  <c r="C42" i="20"/>
  <c r="A42" i="20"/>
  <c r="C37" i="20"/>
  <c r="C38" i="20"/>
  <c r="C39" i="20"/>
  <c r="D39" i="20"/>
  <c r="C40" i="20"/>
  <c r="D40" i="20"/>
  <c r="C41" i="20"/>
  <c r="A43" i="20"/>
  <c r="C43" i="20"/>
  <c r="D33" i="20"/>
  <c r="C33" i="20"/>
  <c r="A33" i="20"/>
  <c r="D32" i="20"/>
  <c r="C32" i="20"/>
  <c r="A32" i="20"/>
  <c r="C36" i="20"/>
  <c r="A36" i="20"/>
  <c r="C29" i="20"/>
  <c r="A29" i="20"/>
  <c r="C28" i="20"/>
  <c r="A28" i="20"/>
  <c r="C27" i="20"/>
  <c r="A27" i="20"/>
  <c r="B24" i="20"/>
  <c r="C24" i="20"/>
  <c r="D24" i="20"/>
  <c r="A24" i="20"/>
  <c r="A14" i="20"/>
  <c r="B14" i="20"/>
  <c r="E17" i="17"/>
  <c r="D14" i="20"/>
  <c r="A15" i="20"/>
  <c r="B15" i="20"/>
  <c r="E18" i="17"/>
  <c r="D15" i="20"/>
  <c r="A16" i="20"/>
  <c r="B16" i="20"/>
  <c r="D16" i="20"/>
  <c r="A17" i="20"/>
  <c r="B17" i="20"/>
  <c r="D17" i="20"/>
  <c r="D13" i="20"/>
  <c r="B13" i="20"/>
  <c r="A13" i="20"/>
  <c r="B8" i="20"/>
  <c r="B7" i="20"/>
  <c r="A57" i="20"/>
  <c r="A56" i="20"/>
  <c r="A55" i="20"/>
  <c r="A54" i="20"/>
  <c r="A53" i="20"/>
  <c r="A52" i="20"/>
  <c r="E47" i="20"/>
  <c r="E46" i="20"/>
  <c r="E57" i="20"/>
  <c r="E42" i="20"/>
  <c r="E39" i="20"/>
  <c r="E14" i="20"/>
  <c r="E43" i="20"/>
  <c r="E15" i="20"/>
  <c r="E33" i="20"/>
  <c r="E16" i="20"/>
  <c r="E17" i="20"/>
  <c r="E24" i="20"/>
  <c r="E23" i="20"/>
  <c r="E53" i="20"/>
  <c r="E32" i="20"/>
  <c r="E13" i="20"/>
  <c r="E31" i="20"/>
  <c r="E19" i="20"/>
  <c r="E52" i="20"/>
  <c r="F16" i="17"/>
  <c r="F17" i="17"/>
  <c r="F18" i="17"/>
  <c r="F19" i="17"/>
  <c r="F20" i="17"/>
  <c r="F22" i="17"/>
  <c r="B36" i="20"/>
  <c r="D37" i="20"/>
  <c r="D38" i="20"/>
  <c r="D41" i="20"/>
  <c r="E41" i="20"/>
  <c r="H16" i="17"/>
  <c r="H18" i="17"/>
  <c r="H17" i="17"/>
  <c r="L46" i="18"/>
  <c r="M46" i="18"/>
  <c r="K16" i="18"/>
  <c r="L16" i="18"/>
  <c r="M16" i="18"/>
  <c r="D36" i="20"/>
  <c r="L42" i="18"/>
  <c r="M42" i="18"/>
  <c r="E37" i="20"/>
  <c r="E38" i="20"/>
  <c r="E56" i="20"/>
  <c r="K24" i="18"/>
  <c r="L24" i="18"/>
  <c r="M24" i="18"/>
  <c r="E40" i="20"/>
  <c r="K23" i="18"/>
  <c r="L23" i="18"/>
  <c r="M23" i="18"/>
  <c r="K12" i="18"/>
  <c r="L12" i="18"/>
  <c r="M12" i="18"/>
  <c r="K26" i="18"/>
  <c r="L26" i="18"/>
  <c r="M26" i="18"/>
  <c r="K22" i="18"/>
  <c r="L22" i="18"/>
  <c r="M22" i="18"/>
  <c r="L41" i="18"/>
  <c r="M41" i="18"/>
  <c r="K28" i="18"/>
  <c r="L28" i="18"/>
  <c r="M28" i="18"/>
  <c r="K21" i="18"/>
  <c r="L21" i="18"/>
  <c r="M21" i="18"/>
  <c r="L47" i="18"/>
  <c r="M47" i="18"/>
  <c r="L44" i="18"/>
  <c r="M44" i="18"/>
  <c r="K27" i="18"/>
  <c r="L27" i="18"/>
  <c r="M27" i="18"/>
  <c r="L43" i="18"/>
  <c r="M43" i="18"/>
  <c r="L45" i="18"/>
  <c r="M45" i="18"/>
  <c r="L48" i="18"/>
  <c r="M48" i="18"/>
  <c r="K19" i="18"/>
  <c r="L19" i="18"/>
  <c r="M19" i="18"/>
  <c r="K18" i="18"/>
  <c r="L18" i="18"/>
  <c r="M18" i="18"/>
  <c r="H19" i="17"/>
  <c r="H22" i="17"/>
  <c r="L63" i="18"/>
  <c r="M63" i="18"/>
  <c r="K11" i="18"/>
  <c r="K25" i="18"/>
  <c r="L25" i="18"/>
  <c r="M25" i="18"/>
  <c r="E36" i="20"/>
  <c r="E35" i="20"/>
  <c r="E49" i="20"/>
  <c r="K17" i="18"/>
  <c r="L17" i="18"/>
  <c r="M17" i="18"/>
  <c r="L11" i="18"/>
  <c r="E55" i="20"/>
  <c r="E54" i="20"/>
  <c r="M11" i="18"/>
  <c r="L39" i="18"/>
  <c r="K20" i="18"/>
  <c r="E59" i="20"/>
  <c r="G34" i="18"/>
  <c r="L20" i="18"/>
  <c r="M39" i="18"/>
  <c r="M20" i="18"/>
  <c r="K29" i="18"/>
  <c r="L40" i="18"/>
  <c r="K61" i="18"/>
  <c r="M40" i="18"/>
  <c r="M57" i="18"/>
  <c r="M61" i="18"/>
  <c r="L57" i="18"/>
  <c r="L61" i="18"/>
  <c r="L29" i="18"/>
  <c r="K34" i="18"/>
  <c r="K60" i="18"/>
  <c r="K62" i="18"/>
  <c r="K64" i="18"/>
  <c r="M29" i="18"/>
  <c r="M34" i="18"/>
  <c r="M60" i="18"/>
  <c r="M62" i="18"/>
  <c r="M64" i="18"/>
  <c r="L34" i="18"/>
  <c r="L60" i="18"/>
  <c r="L62" i="18"/>
  <c r="L64" i="18"/>
</calcChain>
</file>

<file path=xl/sharedStrings.xml><?xml version="1.0" encoding="utf-8"?>
<sst xmlns="http://schemas.openxmlformats.org/spreadsheetml/2006/main" count="400" uniqueCount="187">
  <si>
    <t>TOTAL</t>
  </si>
  <si>
    <t>Total</t>
  </si>
  <si>
    <t>Type d'investissement</t>
  </si>
  <si>
    <t>Unité</t>
  </si>
  <si>
    <t>INVESTISSEMENT INITIAL AGR</t>
  </si>
  <si>
    <t>Coûts fixes</t>
  </si>
  <si>
    <t>Coûts variables</t>
  </si>
  <si>
    <t>B</t>
  </si>
  <si>
    <t>A-Nº</t>
  </si>
  <si>
    <t>A</t>
  </si>
  <si>
    <t>B-Nº</t>
  </si>
  <si>
    <t>C-Nº</t>
  </si>
  <si>
    <t>C</t>
  </si>
  <si>
    <t>A.1</t>
  </si>
  <si>
    <t>A.2</t>
  </si>
  <si>
    <t>A.3</t>
  </si>
  <si>
    <t>A.4</t>
  </si>
  <si>
    <t>B.1</t>
  </si>
  <si>
    <t>B.3</t>
  </si>
  <si>
    <t>B.4</t>
  </si>
  <si>
    <t>B.5</t>
  </si>
  <si>
    <t>B.6</t>
  </si>
  <si>
    <t>C.1</t>
  </si>
  <si>
    <t>C.2</t>
  </si>
  <si>
    <t>COÛTS DE L'ACTIVITÉ</t>
  </si>
  <si>
    <t>Amortissement</t>
  </si>
  <si>
    <t>Type de dépenses</t>
  </si>
  <si>
    <t>Localité :</t>
  </si>
  <si>
    <t>PLAN D'AFFAIRES SIMPLIFIE</t>
  </si>
  <si>
    <t xml:space="preserve">Contributions projet: </t>
  </si>
  <si>
    <r>
      <t xml:space="preserve">Cycle de l'AGR </t>
    </r>
    <r>
      <rPr>
        <i/>
        <sz val="12"/>
        <color theme="1"/>
        <rFont val="Calibri"/>
        <family val="2"/>
        <scheme val="minor"/>
      </rPr>
      <t>(hebdomadaire, mensuel, annuel, etc.):</t>
    </r>
  </si>
  <si>
    <t>Coût unitaire</t>
  </si>
  <si>
    <t>DEPENSES PAR CYCLE</t>
  </si>
  <si>
    <t>RECETTES PAR CYCLE</t>
  </si>
  <si>
    <t>Produit / service</t>
  </si>
  <si>
    <t>Prix unitaire</t>
  </si>
  <si>
    <t>Plan Economique</t>
  </si>
  <si>
    <t>Cycle vie (ans)</t>
  </si>
  <si>
    <r>
      <t xml:space="preserve">Nom, Prénom </t>
    </r>
    <r>
      <rPr>
        <sz val="12"/>
        <color theme="1"/>
        <rFont val="Calibri"/>
        <family val="2"/>
        <scheme val="minor"/>
      </rPr>
      <t>(bénéficiaire, personne de contact)</t>
    </r>
    <r>
      <rPr>
        <b/>
        <sz val="12"/>
        <color theme="1"/>
        <rFont val="Calibri"/>
        <family val="2"/>
        <scheme val="minor"/>
      </rPr>
      <t>:</t>
    </r>
  </si>
  <si>
    <t>Numéro téléphone :</t>
  </si>
  <si>
    <t xml:space="preserve">Contributions bénéficiaire: </t>
  </si>
  <si>
    <t>Quantité</t>
  </si>
  <si>
    <t>BÉNÉFICES PAR CYCLE</t>
  </si>
  <si>
    <t>RECETTES DE L'ACTIVITÉ</t>
  </si>
  <si>
    <t>amortis./an</t>
  </si>
  <si>
    <t>Information général et Investissement initial</t>
  </si>
  <si>
    <t>Plan Economique Simplifié</t>
  </si>
  <si>
    <t>Prévision de recettes et dépenses par 3 ans</t>
  </si>
  <si>
    <t>Année 2</t>
  </si>
  <si>
    <t>Année 1</t>
  </si>
  <si>
    <t>Année 3</t>
  </si>
  <si>
    <t>Conversion (cycle--&gt; an)</t>
  </si>
  <si>
    <t>hebdomadaire</t>
  </si>
  <si>
    <t>annuel</t>
  </si>
  <si>
    <t>semestre (6mois)</t>
  </si>
  <si>
    <t>trimestrielle (3mois)</t>
  </si>
  <si>
    <t>Type de Cycle</t>
  </si>
  <si>
    <t>mensuel</t>
  </si>
  <si>
    <t>quincénaire</t>
  </si>
  <si>
    <t>(C-B) BÉNÉFICE</t>
  </si>
  <si>
    <t>(C-B-A) BÉNÉFICE</t>
  </si>
  <si>
    <t>bimensuel (2mois)</t>
  </si>
  <si>
    <t>MRU</t>
  </si>
  <si>
    <t>RÉSUMÉ SUPPORT AGR</t>
  </si>
  <si>
    <t>B.7</t>
  </si>
  <si>
    <t>Remarques</t>
  </si>
  <si>
    <t>B.8</t>
  </si>
  <si>
    <t>B.9</t>
  </si>
  <si>
    <t>Total (cycle)</t>
  </si>
  <si>
    <t>Total (Mois)</t>
  </si>
  <si>
    <t>semaine</t>
  </si>
  <si>
    <t>Achats hebdomadaires</t>
  </si>
  <si>
    <t>Mois</t>
  </si>
  <si>
    <t>fois</t>
  </si>
  <si>
    <t>Ventes hebdomadaires</t>
  </si>
  <si>
    <t>Semaine</t>
  </si>
  <si>
    <t>Emballage</t>
  </si>
  <si>
    <t>forfait</t>
  </si>
  <si>
    <t>Congelateur solaire 208 litres, avec panneaux, installation et transport</t>
  </si>
  <si>
    <t>Achat à Kiffa</t>
  </si>
  <si>
    <t>transport</t>
  </si>
  <si>
    <t>loyer</t>
  </si>
  <si>
    <t xml:space="preserve">Apport CRM </t>
  </si>
  <si>
    <r>
      <t>Type/nom de l'activité génératrice de revenus:</t>
    </r>
    <r>
      <rPr>
        <sz val="11"/>
        <color theme="1"/>
        <rFont val="Calibri"/>
        <family val="2"/>
        <scheme val="minor"/>
      </rPr>
      <t xml:space="preserve"> </t>
    </r>
  </si>
  <si>
    <t>unités</t>
  </si>
  <si>
    <t>1 mois</t>
  </si>
  <si>
    <t>1 cycle</t>
  </si>
  <si>
    <t>Club de mères - Odey Enes</t>
  </si>
  <si>
    <t>Odey Enes</t>
  </si>
  <si>
    <t>Poisson</t>
  </si>
  <si>
    <t>Transport poisson</t>
  </si>
  <si>
    <t>kg</t>
  </si>
  <si>
    <t>etageres 2500, nattes 600</t>
  </si>
  <si>
    <t>Légumes Thiebouyen</t>
  </si>
  <si>
    <t>Bissap</t>
  </si>
  <si>
    <t>C.3</t>
  </si>
  <si>
    <t>C.4</t>
  </si>
  <si>
    <t>C.5</t>
  </si>
  <si>
    <t>C.6</t>
  </si>
  <si>
    <t>2 thermos 24l (22 kg de poisson)</t>
  </si>
  <si>
    <t>Barkeol, 10kg + 15 kg légumes sont 50 MRU</t>
  </si>
  <si>
    <t>2 thermos 24 (22 kg) x 2 fois par semaine</t>
  </si>
  <si>
    <t>Transport autres produits</t>
  </si>
  <si>
    <t>Boisson - canettes</t>
  </si>
  <si>
    <t>Boisson - lait</t>
  </si>
  <si>
    <t>Boisson - yaourt</t>
  </si>
  <si>
    <t>Boisson - erraib</t>
  </si>
  <si>
    <t>Boisson - rani</t>
  </si>
  <si>
    <t>carton 27 unités (1/4 litre)3, 30 MRU</t>
  </si>
  <si>
    <t>carton 12 bouteilles , 125 carton</t>
  </si>
  <si>
    <t>carton 350 MRU, 24 ud</t>
  </si>
  <si>
    <t>Bissap - 1 kg fleur bissap</t>
  </si>
  <si>
    <t>1 kg bissap, 40 bouteilles 50cl</t>
  </si>
  <si>
    <t>Bissap - sucre</t>
  </si>
  <si>
    <t>5 kg</t>
  </si>
  <si>
    <t>bouteilles</t>
  </si>
  <si>
    <t>C.7</t>
  </si>
  <si>
    <t>C.8</t>
  </si>
  <si>
    <t>C.9</t>
  </si>
  <si>
    <t>A.5</t>
  </si>
  <si>
    <t>Boisson - eau</t>
  </si>
  <si>
    <t>carton 12 bouteilles ,  carton à 100 MRU</t>
  </si>
  <si>
    <t>C.10</t>
  </si>
  <si>
    <t>balance, equipement pour bissap 350</t>
  </si>
  <si>
    <t>B.10</t>
  </si>
  <si>
    <t>B.11</t>
  </si>
  <si>
    <t>B.12</t>
  </si>
  <si>
    <t>B.13</t>
  </si>
  <si>
    <t>B.14</t>
  </si>
  <si>
    <t>Forfait demarrage (transport materiels, visites fournisseurs, etc.)</t>
  </si>
  <si>
    <t>B.16</t>
  </si>
  <si>
    <t>B.17</t>
  </si>
  <si>
    <t>Boutique de vente de poisson, légumes et autres produits frais ou congelés (boissons), avec congélateur solaire. L’activité se complémente avec l’élaboration et vente de boissons traditionnelles (jus de bissap).</t>
  </si>
  <si>
    <t>Thermo pour le transport de poisson (22-24l)</t>
  </si>
  <si>
    <t>Amenagement boutique (étageres, nattes)</t>
  </si>
  <si>
    <t>Equipment (balance, equipemet production bissap, bassins, etc.)</t>
  </si>
  <si>
    <t>Location boutique</t>
  </si>
  <si>
    <t>Apport du CRM (AGR Clubs des Mères)</t>
  </si>
  <si>
    <t>PLAN ECONOMIQUE du PLAN d'AFFAIRES SIMPLIFIE</t>
  </si>
  <si>
    <r>
      <t xml:space="preserve">Nom, Prénom </t>
    </r>
    <r>
      <rPr>
        <sz val="11"/>
        <color theme="1"/>
        <rFont val="Calibri"/>
        <family val="2"/>
        <scheme val="minor"/>
      </rPr>
      <t>(bénéficiaire)</t>
    </r>
    <r>
      <rPr>
        <b/>
        <sz val="11"/>
        <color theme="1"/>
        <rFont val="Calibri"/>
        <family val="2"/>
        <scheme val="minor"/>
      </rPr>
      <t>:</t>
    </r>
  </si>
  <si>
    <t>Investissement AGR</t>
  </si>
  <si>
    <t>Coût ud (MRU)</t>
  </si>
  <si>
    <t>Total (MRU)</t>
  </si>
  <si>
    <t>Couverture CRM</t>
  </si>
  <si>
    <t>totale</t>
  </si>
  <si>
    <t>Total Investissement AGR couvert</t>
  </si>
  <si>
    <t>Dépenses par cycle (Fonds de roulement)</t>
  </si>
  <si>
    <t>Coûts variables. Vente de poisson, légumes et poulets, cycle hebdomadaire</t>
  </si>
  <si>
    <t>Autres</t>
  </si>
  <si>
    <t>Emballages et autres dépenses mineures</t>
  </si>
  <si>
    <t>Total dépenses (fond roulement) couvertes</t>
  </si>
  <si>
    <t>Total Contribution CRM (MRU)</t>
  </si>
  <si>
    <t>Coûts variables. Elaboration de jus de bissap (20 litres), cycle hebdomadaire</t>
  </si>
  <si>
    <t>Entretien équipement</t>
  </si>
  <si>
    <t>Barkeol (200 coli, 200 personne), option que vient le distributeur de Kiffa (gratuit, si le montant est haut)</t>
  </si>
  <si>
    <t>Crédit téléphonique</t>
  </si>
  <si>
    <t>Coûts variables. Vente de boissons et crédit téléphonique, cycle hebdomadaire</t>
  </si>
  <si>
    <t>2 cycles</t>
  </si>
  <si>
    <t>2 cycle</t>
  </si>
  <si>
    <t>1 cycle, plus stock</t>
  </si>
  <si>
    <t>2 cycles (40 litres)</t>
  </si>
  <si>
    <t>MOIS</t>
  </si>
  <si>
    <t>Année 2 et 3</t>
  </si>
  <si>
    <t>Thermo pour le transport 48 Kg.</t>
  </si>
  <si>
    <t>unité</t>
  </si>
  <si>
    <t>Amenagement boutique (estimation)</t>
  </si>
  <si>
    <t>ameliorations pour l'augmantation de produits</t>
  </si>
  <si>
    <t>Equipment (estimation)</t>
  </si>
  <si>
    <t>TOTAL ANNÉES 2 ET 3</t>
  </si>
  <si>
    <t>production jus, etc.</t>
  </si>
  <si>
    <t>Scenario évolution AGR (années 2 et 3)</t>
  </si>
  <si>
    <t>location de boutique pour les années 2 et 3</t>
  </si>
  <si>
    <t>Location charrette</t>
  </si>
  <si>
    <t>Benefice. Augmentation produits de base</t>
  </si>
  <si>
    <t>25%</t>
  </si>
  <si>
    <t>Benefice. Augmentation vente poisson</t>
  </si>
  <si>
    <t>50%</t>
  </si>
  <si>
    <t>Benefice. Diversification produits alimentaires</t>
  </si>
  <si>
    <t>Benefice. Diversification vente poulet</t>
  </si>
  <si>
    <t>Benefice. Augmantation production bissap</t>
  </si>
  <si>
    <r>
      <t xml:space="preserve">Plan économique pour le </t>
    </r>
    <r>
      <rPr>
        <b/>
        <sz val="11"/>
        <color theme="1"/>
        <rFont val="Calibri"/>
        <family val="2"/>
        <scheme val="minor"/>
      </rPr>
      <t>premier année selon la définition élaborée avec le groupement</t>
    </r>
    <r>
      <rPr>
        <sz val="11"/>
        <color theme="1"/>
        <rFont val="Calibri"/>
        <family val="2"/>
        <scheme val="minor"/>
      </rPr>
      <t xml:space="preserve">.
</t>
    </r>
    <r>
      <rPr>
        <b/>
        <sz val="11"/>
        <color theme="1"/>
        <rFont val="Calibri"/>
        <family val="2"/>
        <scheme val="minor"/>
      </rPr>
      <t>Scenario d'évolution du PAS</t>
    </r>
    <r>
      <rPr>
        <sz val="11"/>
        <color theme="1"/>
        <rFont val="Calibri"/>
        <family val="2"/>
        <scheme val="minor"/>
      </rPr>
      <t>: augmentation de ses produits de base (25%) et la production de bissap (doubler) et promovoir la vente à d'autres villages; achat de poisson à Nouskchott et augmanter la quantité (de 88 kg a 120 kg). Diversification avec d'autres produits (denrées alimentaires de base, poulets, etc.). L'évolution est calculé sur la base de bénéfices mensuels et en utilisant les résultats des AGRs d'autres groupements.</t>
    </r>
  </si>
  <si>
    <t>RESUME</t>
  </si>
  <si>
    <t xml:space="preserve">Investissement </t>
  </si>
  <si>
    <t>Dépenses fixes</t>
  </si>
  <si>
    <t>Dépenses variables</t>
  </si>
  <si>
    <t>Recettes</t>
  </si>
  <si>
    <t xml:space="preserve">Type/nom de l'activité génératrice de revenus: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</si>
</sst>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€_-;\-* #,##0.00\ _€_-;_-* &quot;-&quot;??\ _€_-;_-@_-"/>
    <numFmt numFmtId="164" formatCode="_-* #,##0.0\ _€_-;\-* #,##0.0\ _€_-;_-* &quot;-&quot;??\ _€_-;_-@_-"/>
    <numFmt numFmtId="165" formatCode="_-* #,##0\ _€_-;\-* #,##0\ _€_-;_-* &quot;-&quot;??\ _€_-;_-@_-"/>
    <numFmt numFmtId="166" formatCode="0.0"/>
  </numFmts>
  <fonts count="2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22"/>
      <color rgb="FFC00000"/>
      <name val="Calibri"/>
      <family val="2"/>
      <scheme val="minor"/>
    </font>
    <font>
      <b/>
      <sz val="14"/>
      <color rgb="FFC00000"/>
      <name val="Calibri"/>
      <family val="2"/>
      <scheme val="minor"/>
    </font>
    <font>
      <sz val="11"/>
      <color theme="2" tint="-0.249977111117893"/>
      <name val="Calibri"/>
      <family val="2"/>
      <scheme val="minor"/>
    </font>
    <font>
      <b/>
      <sz val="11"/>
      <color theme="2" tint="-0.24997711111789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ECEADC"/>
        <bgColor indexed="64"/>
      </patternFill>
    </fill>
    <fill>
      <patternFill patternType="solid">
        <fgColor rgb="FFC7C09D"/>
        <bgColor indexed="64"/>
      </patternFill>
    </fill>
    <fill>
      <patternFill patternType="solid">
        <fgColor rgb="FFFFF13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6F5F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21">
    <xf numFmtId="0" fontId="0" fillId="0" borderId="0" xfId="0"/>
    <xf numFmtId="0" fontId="4" fillId="0" borderId="0" xfId="0" applyFont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8" fillId="0" borderId="0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0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3" fillId="3" borderId="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0" fillId="3" borderId="0" xfId="1" applyNumberFormat="1" applyFont="1" applyFill="1" applyBorder="1" applyAlignment="1">
      <alignment horizontal="center" vertical="center"/>
    </xf>
    <xf numFmtId="165" fontId="4" fillId="4" borderId="0" xfId="1" applyNumberFormat="1" applyFont="1" applyFill="1" applyBorder="1" applyAlignment="1">
      <alignment horizontal="center" vertical="center"/>
    </xf>
    <xf numFmtId="165" fontId="0" fillId="0" borderId="0" xfId="1" applyNumberFormat="1" applyFont="1" applyBorder="1" applyAlignment="1">
      <alignment horizontal="center" vertical="center"/>
    </xf>
    <xf numFmtId="165" fontId="4" fillId="3" borderId="0" xfId="1" applyNumberFormat="1" applyFont="1" applyFill="1" applyBorder="1" applyAlignment="1">
      <alignment vertical="center"/>
    </xf>
    <xf numFmtId="165" fontId="9" fillId="2" borderId="0" xfId="1" applyNumberFormat="1" applyFont="1" applyFill="1" applyBorder="1" applyAlignment="1">
      <alignment horizontal="center" vertical="center"/>
    </xf>
    <xf numFmtId="165" fontId="3" fillId="0" borderId="0" xfId="1" applyNumberFormat="1" applyFont="1" applyBorder="1" applyAlignment="1">
      <alignment horizontal="center" vertical="center"/>
    </xf>
    <xf numFmtId="165" fontId="0" fillId="0" borderId="0" xfId="1" applyNumberFormat="1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6" fillId="0" borderId="0" xfId="0" applyFont="1" applyFill="1" applyBorder="1" applyAlignment="1">
      <alignment vertical="center" wrapText="1"/>
    </xf>
    <xf numFmtId="0" fontId="16" fillId="0" borderId="0" xfId="0" applyFont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4" fillId="5" borderId="0" xfId="0" applyFont="1" applyFill="1" applyBorder="1" applyAlignment="1">
      <alignment horizontal="center" vertical="center"/>
    </xf>
    <xf numFmtId="165" fontId="0" fillId="5" borderId="0" xfId="1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5" fontId="0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18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 vertical="top" wrapText="1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5" fontId="0" fillId="0" borderId="0" xfId="1" applyNumberFormat="1" applyFont="1" applyBorder="1" applyAlignment="1">
      <alignment horizontal="left" vertical="center"/>
    </xf>
    <xf numFmtId="165" fontId="9" fillId="2" borderId="0" xfId="1" applyNumberFormat="1" applyFont="1" applyFill="1" applyBorder="1" applyAlignment="1">
      <alignment horizontal="left" vertical="center"/>
    </xf>
    <xf numFmtId="165" fontId="3" fillId="0" borderId="0" xfId="1" applyNumberFormat="1" applyFont="1" applyBorder="1" applyAlignment="1">
      <alignment horizontal="left" vertical="center"/>
    </xf>
    <xf numFmtId="165" fontId="0" fillId="3" borderId="0" xfId="1" applyNumberFormat="1" applyFont="1" applyFill="1" applyBorder="1" applyAlignment="1">
      <alignment horizontal="left" vertical="center"/>
    </xf>
    <xf numFmtId="165" fontId="4" fillId="4" borderId="0" xfId="1" applyNumberFormat="1" applyFont="1" applyFill="1" applyBorder="1" applyAlignment="1">
      <alignment horizontal="left" vertical="center"/>
    </xf>
    <xf numFmtId="165" fontId="0" fillId="5" borderId="0" xfId="1" applyNumberFormat="1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165" fontId="0" fillId="0" borderId="0" xfId="1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left" vertical="center"/>
    </xf>
    <xf numFmtId="0" fontId="6" fillId="3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65" fontId="6" fillId="3" borderId="0" xfId="1" applyNumberFormat="1" applyFont="1" applyFill="1" applyBorder="1" applyAlignment="1">
      <alignment horizontal="center" vertical="center"/>
    </xf>
    <xf numFmtId="165" fontId="6" fillId="3" borderId="0" xfId="1" applyNumberFormat="1" applyFont="1" applyFill="1" applyBorder="1" applyAlignment="1">
      <alignment horizontal="left" vertical="center"/>
    </xf>
    <xf numFmtId="166" fontId="18" fillId="0" borderId="0" xfId="0" applyNumberFormat="1" applyFont="1" applyFill="1" applyBorder="1" applyAlignment="1">
      <alignment horizontal="center" vertical="center"/>
    </xf>
    <xf numFmtId="1" fontId="0" fillId="0" borderId="0" xfId="0" applyNumberFormat="1" applyFont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ill="1" applyAlignment="1">
      <alignment horizontal="left" vertical="top" wrapText="1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left" vertical="top" wrapText="1"/>
    </xf>
    <xf numFmtId="165" fontId="6" fillId="0" borderId="0" xfId="0" applyNumberFormat="1" applyFont="1" applyFill="1" applyBorder="1" applyAlignment="1">
      <alignment vertical="center"/>
    </xf>
    <xf numFmtId="165" fontId="17" fillId="3" borderId="7" xfId="1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/>
    </xf>
    <xf numFmtId="0" fontId="18" fillId="0" borderId="0" xfId="0" applyFont="1" applyBorder="1" applyAlignment="1">
      <alignment vertical="top" wrapText="1"/>
    </xf>
    <xf numFmtId="1" fontId="0" fillId="0" borderId="0" xfId="0" applyNumberFormat="1" applyFont="1" applyFill="1" applyBorder="1" applyAlignment="1">
      <alignment horizontal="center" vertical="center"/>
    </xf>
    <xf numFmtId="165" fontId="0" fillId="0" borderId="0" xfId="1" applyNumberFormat="1" applyFont="1" applyFill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9" fillId="2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 wrapText="1"/>
    </xf>
    <xf numFmtId="0" fontId="19" fillId="2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0" fillId="0" borderId="0" xfId="0" applyFont="1" applyFill="1" applyBorder="1" applyAlignment="1">
      <alignment vertical="center" wrapText="1"/>
    </xf>
    <xf numFmtId="0" fontId="11" fillId="3" borderId="0" xfId="0" applyFont="1" applyFill="1" applyBorder="1" applyAlignment="1">
      <alignment horizontal="left" vertical="center"/>
    </xf>
    <xf numFmtId="0" fontId="11" fillId="3" borderId="0" xfId="0" applyFont="1" applyFill="1" applyBorder="1" applyAlignment="1">
      <alignment horizontal="center" vertical="center"/>
    </xf>
    <xf numFmtId="165" fontId="11" fillId="3" borderId="0" xfId="0" applyNumberFormat="1" applyFont="1" applyFill="1" applyBorder="1" applyAlignment="1">
      <alignment horizontal="center" vertical="center"/>
    </xf>
    <xf numFmtId="165" fontId="11" fillId="3" borderId="0" xfId="1" applyNumberFormat="1" applyFont="1" applyFill="1" applyBorder="1" applyAlignment="1">
      <alignment horizontal="left" vertical="center"/>
    </xf>
    <xf numFmtId="0" fontId="20" fillId="0" borderId="0" xfId="0" applyFont="1" applyBorder="1" applyAlignment="1">
      <alignment vertical="center"/>
    </xf>
    <xf numFmtId="0" fontId="18" fillId="0" borderId="0" xfId="0" applyFont="1" applyFill="1" applyBorder="1" applyAlignment="1">
      <alignment vertical="top" wrapText="1"/>
    </xf>
    <xf numFmtId="165" fontId="18" fillId="0" borderId="0" xfId="1" applyNumberFormat="1" applyFont="1" applyFill="1" applyBorder="1" applyAlignment="1">
      <alignment horizontal="center" vertical="top" wrapText="1"/>
    </xf>
    <xf numFmtId="165" fontId="18" fillId="0" borderId="0" xfId="1" applyNumberFormat="1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vertical="center" wrapText="1"/>
    </xf>
    <xf numFmtId="165" fontId="4" fillId="3" borderId="0" xfId="0" applyNumberFormat="1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left" vertical="center"/>
    </xf>
    <xf numFmtId="165" fontId="4" fillId="3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 wrapText="1"/>
    </xf>
    <xf numFmtId="165" fontId="0" fillId="6" borderId="0" xfId="1" applyNumberFormat="1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165" fontId="0" fillId="6" borderId="0" xfId="1" applyNumberFormat="1" applyFont="1" applyFill="1" applyBorder="1" applyAlignment="1">
      <alignment horizontal="center" vertical="center"/>
    </xf>
    <xf numFmtId="165" fontId="0" fillId="6" borderId="0" xfId="0" applyNumberFormat="1" applyFont="1" applyFill="1" applyBorder="1" applyAlignment="1">
      <alignment vertical="center" wrapText="1"/>
    </xf>
    <xf numFmtId="165" fontId="0" fillId="0" borderId="0" xfId="0" applyNumberFormat="1" applyFont="1" applyBorder="1" applyAlignment="1">
      <alignment horizontal="left" vertical="center"/>
    </xf>
    <xf numFmtId="0" fontId="4" fillId="4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165" fontId="0" fillId="0" borderId="10" xfId="1" applyNumberFormat="1" applyFont="1" applyBorder="1" applyAlignment="1">
      <alignment horizontal="center" vertical="center"/>
    </xf>
    <xf numFmtId="165" fontId="0" fillId="0" borderId="11" xfId="1" applyNumberFormat="1" applyFont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165" fontId="0" fillId="0" borderId="10" xfId="1" applyNumberFormat="1" applyFont="1" applyFill="1" applyBorder="1" applyAlignment="1">
      <alignment horizontal="center" vertical="center"/>
    </xf>
    <xf numFmtId="165" fontId="4" fillId="4" borderId="10" xfId="1" applyNumberFormat="1" applyFont="1" applyFill="1" applyBorder="1" applyAlignment="1">
      <alignment horizontal="center" vertical="center"/>
    </xf>
    <xf numFmtId="165" fontId="4" fillId="4" borderId="11" xfId="1" applyNumberFormat="1" applyFont="1" applyFill="1" applyBorder="1" applyAlignment="1">
      <alignment horizontal="center" vertical="center"/>
    </xf>
    <xf numFmtId="165" fontId="0" fillId="0" borderId="10" xfId="0" applyNumberFormat="1" applyFont="1" applyBorder="1" applyAlignment="1">
      <alignment vertical="center"/>
    </xf>
    <xf numFmtId="165" fontId="0" fillId="0" borderId="11" xfId="0" applyNumberFormat="1" applyFont="1" applyBorder="1" applyAlignment="1">
      <alignment vertical="center"/>
    </xf>
    <xf numFmtId="165" fontId="0" fillId="0" borderId="11" xfId="1" applyNumberFormat="1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165" fontId="0" fillId="5" borderId="10" xfId="1" applyNumberFormat="1" applyFont="1" applyFill="1" applyBorder="1" applyAlignment="1">
      <alignment horizontal="center" vertical="center"/>
    </xf>
    <xf numFmtId="165" fontId="0" fillId="5" borderId="11" xfId="1" applyNumberFormat="1" applyFont="1" applyFill="1" applyBorder="1" applyAlignment="1">
      <alignment horizontal="center" vertical="center"/>
    </xf>
    <xf numFmtId="165" fontId="4" fillId="4" borderId="12" xfId="1" applyNumberFormat="1" applyFont="1" applyFill="1" applyBorder="1" applyAlignment="1">
      <alignment horizontal="center" vertical="center"/>
    </xf>
    <xf numFmtId="165" fontId="4" fillId="4" borderId="13" xfId="1" applyNumberFormat="1" applyFont="1" applyFill="1" applyBorder="1" applyAlignment="1">
      <alignment horizontal="center" vertical="center"/>
    </xf>
    <xf numFmtId="0" fontId="21" fillId="3" borderId="0" xfId="0" applyFont="1" applyFill="1" applyBorder="1" applyAlignment="1">
      <alignment horizontal="left" vertical="center"/>
    </xf>
    <xf numFmtId="0" fontId="22" fillId="3" borderId="0" xfId="0" applyFont="1" applyFill="1" applyBorder="1" applyAlignment="1">
      <alignment vertical="center"/>
    </xf>
    <xf numFmtId="0" fontId="22" fillId="3" borderId="0" xfId="0" applyFont="1" applyFill="1" applyBorder="1" applyAlignment="1">
      <alignment horizontal="center" vertical="center"/>
    </xf>
    <xf numFmtId="0" fontId="21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0" fillId="0" borderId="0" xfId="0" applyFont="1" applyBorder="1" applyAlignment="1">
      <alignment horizontal="center" vertical="center" wrapText="1"/>
    </xf>
    <xf numFmtId="165" fontId="0" fillId="0" borderId="0" xfId="1" applyNumberFormat="1" applyFont="1" applyBorder="1" applyAlignment="1">
      <alignment horizontal="center" vertical="center" wrapText="1"/>
    </xf>
    <xf numFmtId="0" fontId="0" fillId="3" borderId="0" xfId="0" applyFont="1" applyFill="1" applyBorder="1" applyAlignment="1">
      <alignment horizontal="center" vertical="center" wrapText="1"/>
    </xf>
    <xf numFmtId="165" fontId="0" fillId="3" borderId="0" xfId="1" applyNumberFormat="1" applyFont="1" applyFill="1" applyBorder="1" applyAlignment="1">
      <alignment horizontal="center" vertical="center" wrapText="1"/>
    </xf>
    <xf numFmtId="165" fontId="0" fillId="3" borderId="0" xfId="1" applyNumberFormat="1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0" fillId="3" borderId="3" xfId="0" applyFont="1" applyFill="1" applyBorder="1" applyAlignment="1">
      <alignment horizontal="left" vertical="center" wrapText="1"/>
    </xf>
    <xf numFmtId="0" fontId="0" fillId="3" borderId="1" xfId="0" applyFont="1" applyFill="1" applyBorder="1" applyAlignment="1">
      <alignment horizontal="left" vertical="center" wrapText="1"/>
    </xf>
    <xf numFmtId="0" fontId="0" fillId="3" borderId="3" xfId="0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3" xfId="0" applyFont="1" applyFill="1" applyBorder="1" applyAlignment="1">
      <alignment horizontal="left" vertical="center"/>
    </xf>
    <xf numFmtId="165" fontId="4" fillId="3" borderId="3" xfId="1" applyNumberFormat="1" applyFont="1" applyFill="1" applyBorder="1" applyAlignment="1">
      <alignment horizontal="center" vertical="center"/>
    </xf>
    <xf numFmtId="165" fontId="4" fillId="3" borderId="1" xfId="1" applyNumberFormat="1" applyFont="1" applyFill="1" applyBorder="1" applyAlignment="1">
      <alignment horizontal="center" vertical="center"/>
    </xf>
    <xf numFmtId="164" fontId="17" fillId="3" borderId="3" xfId="1" applyNumberFormat="1" applyFont="1" applyFill="1" applyBorder="1" applyAlignment="1">
      <alignment horizontal="center" vertical="center"/>
    </xf>
    <xf numFmtId="164" fontId="17" fillId="3" borderId="1" xfId="1" applyNumberFormat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5" borderId="0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left" vertical="center" wrapText="1"/>
    </xf>
    <xf numFmtId="0" fontId="0" fillId="3" borderId="5" xfId="0" applyFont="1" applyFill="1" applyBorder="1" applyAlignment="1">
      <alignment horizontal="left" vertical="center" wrapText="1"/>
    </xf>
    <xf numFmtId="0" fontId="0" fillId="3" borderId="6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/>
    </xf>
    <xf numFmtId="0" fontId="6" fillId="3" borderId="5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left" vertical="center"/>
    </xf>
    <xf numFmtId="0" fontId="0" fillId="7" borderId="0" xfId="0" applyFont="1" applyFill="1" applyBorder="1" applyAlignment="1">
      <alignment horizontal="left" vertical="center" wrapText="1"/>
    </xf>
    <xf numFmtId="0" fontId="0" fillId="0" borderId="11" xfId="0" applyFont="1" applyBorder="1" applyAlignment="1">
      <alignment horizontal="center" vertical="center"/>
    </xf>
    <xf numFmtId="0" fontId="21" fillId="8" borderId="0" xfId="0" applyFont="1" applyFill="1" applyBorder="1" applyAlignment="1">
      <alignment horizontal="center" vertical="center"/>
    </xf>
    <xf numFmtId="0" fontId="21" fillId="8" borderId="0" xfId="0" applyFont="1" applyFill="1" applyBorder="1" applyAlignment="1">
      <alignment vertical="center"/>
    </xf>
    <xf numFmtId="165" fontId="21" fillId="8" borderId="0" xfId="1" applyNumberFormat="1" applyFont="1" applyFill="1" applyBorder="1" applyAlignment="1">
      <alignment horizontal="center" vertical="center"/>
    </xf>
    <xf numFmtId="165" fontId="21" fillId="8" borderId="10" xfId="1" applyNumberFormat="1" applyFont="1" applyFill="1" applyBorder="1" applyAlignment="1">
      <alignment horizontal="center" vertical="center"/>
    </xf>
    <xf numFmtId="0" fontId="21" fillId="8" borderId="11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165" fontId="21" fillId="8" borderId="0" xfId="1" applyNumberFormat="1" applyFont="1" applyFill="1" applyBorder="1" applyAlignment="1">
      <alignment horizontal="left" vertical="center"/>
    </xf>
    <xf numFmtId="165" fontId="21" fillId="0" borderId="0" xfId="0" applyNumberFormat="1" applyFont="1" applyBorder="1" applyAlignment="1">
      <alignment vertical="center"/>
    </xf>
    <xf numFmtId="165" fontId="21" fillId="8" borderId="11" xfId="1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/>
    </xf>
    <xf numFmtId="165" fontId="21" fillId="0" borderId="0" xfId="0" applyNumberFormat="1" applyFont="1" applyFill="1" applyBorder="1" applyAlignment="1">
      <alignment vertical="center"/>
    </xf>
    <xf numFmtId="165" fontId="21" fillId="8" borderId="0" xfId="1" quotePrefix="1" applyNumberFormat="1" applyFont="1" applyFill="1" applyBorder="1" applyAlignment="1">
      <alignment horizontal="left" vertical="center"/>
    </xf>
    <xf numFmtId="0" fontId="21" fillId="8" borderId="0" xfId="0" applyFont="1" applyFill="1" applyBorder="1" applyAlignment="1">
      <alignment vertical="center" wrapText="1"/>
    </xf>
    <xf numFmtId="0" fontId="19" fillId="9" borderId="8" xfId="0" applyFont="1" applyFill="1" applyBorder="1" applyAlignment="1">
      <alignment horizontal="center" vertical="center"/>
    </xf>
    <xf numFmtId="0" fontId="19" fillId="9" borderId="14" xfId="0" applyFont="1" applyFill="1" applyBorder="1" applyAlignment="1">
      <alignment horizontal="center" vertical="center"/>
    </xf>
    <xf numFmtId="0" fontId="19" fillId="9" borderId="9" xfId="0" applyFont="1" applyFill="1" applyBorder="1" applyAlignment="1">
      <alignment horizontal="center" vertical="center"/>
    </xf>
    <xf numFmtId="0" fontId="1" fillId="6" borderId="0" xfId="0" applyFont="1" applyFill="1" applyBorder="1" applyAlignment="1">
      <alignment horizontal="center" vertical="center"/>
    </xf>
    <xf numFmtId="165" fontId="19" fillId="9" borderId="8" xfId="1" applyNumberFormat="1" applyFont="1" applyFill="1" applyBorder="1" applyAlignment="1">
      <alignment horizontal="center" vertical="center"/>
    </xf>
    <xf numFmtId="165" fontId="19" fillId="9" borderId="14" xfId="1" applyNumberFormat="1" applyFont="1" applyFill="1" applyBorder="1" applyAlignment="1">
      <alignment horizontal="center" vertical="center"/>
    </xf>
    <xf numFmtId="165" fontId="19" fillId="9" borderId="9" xfId="1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4" fillId="10" borderId="10" xfId="0" applyFont="1" applyFill="1" applyBorder="1" applyAlignment="1">
      <alignment horizontal="center" vertical="center"/>
    </xf>
    <xf numFmtId="0" fontId="0" fillId="10" borderId="0" xfId="0" applyFont="1" applyFill="1" applyBorder="1" applyAlignment="1">
      <alignment horizontal="left" vertical="center"/>
    </xf>
    <xf numFmtId="165" fontId="0" fillId="10" borderId="0" xfId="1" applyNumberFormat="1" applyFont="1" applyFill="1" applyBorder="1" applyAlignment="1">
      <alignment horizontal="center" vertical="center"/>
    </xf>
    <xf numFmtId="165" fontId="0" fillId="10" borderId="10" xfId="1" applyNumberFormat="1" applyFont="1" applyFill="1" applyBorder="1" applyAlignment="1">
      <alignment horizontal="center" vertical="center"/>
    </xf>
    <xf numFmtId="165" fontId="0" fillId="10" borderId="11" xfId="1" applyNumberFormat="1" applyFont="1" applyFill="1" applyBorder="1" applyAlignment="1">
      <alignment horizontal="center" vertical="center"/>
    </xf>
    <xf numFmtId="0" fontId="0" fillId="6" borderId="0" xfId="0" applyFont="1" applyFill="1" applyBorder="1" applyAlignment="1">
      <alignment horizontal="center" vertical="center"/>
    </xf>
    <xf numFmtId="0" fontId="19" fillId="9" borderId="12" xfId="0" applyFont="1" applyFill="1" applyBorder="1" applyAlignment="1">
      <alignment horizontal="center" vertical="center"/>
    </xf>
    <xf numFmtId="0" fontId="19" fillId="9" borderId="15" xfId="0" applyFont="1" applyFill="1" applyBorder="1" applyAlignment="1">
      <alignment horizontal="left" vertical="center"/>
    </xf>
    <xf numFmtId="165" fontId="19" fillId="9" borderId="15" xfId="1" applyNumberFormat="1" applyFont="1" applyFill="1" applyBorder="1" applyAlignment="1">
      <alignment horizontal="center" vertical="center"/>
    </xf>
    <xf numFmtId="165" fontId="19" fillId="9" borderId="12" xfId="1" applyNumberFormat="1" applyFont="1" applyFill="1" applyBorder="1" applyAlignment="1">
      <alignment horizontal="center" vertical="center"/>
    </xf>
    <xf numFmtId="165" fontId="19" fillId="9" borderId="13" xfId="1" applyNumberFormat="1" applyFont="1" applyFill="1" applyBorder="1" applyAlignment="1">
      <alignment horizontal="center" vertical="center"/>
    </xf>
    <xf numFmtId="0" fontId="10" fillId="6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165" fontId="10" fillId="0" borderId="0" xfId="0" applyNumberFormat="1" applyFont="1" applyBorder="1" applyAlignment="1">
      <alignment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FFF13B"/>
      <color rgb="FFECEADC"/>
      <color rgb="FFC7C09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694765</xdr:colOff>
      <xdr:row>0</xdr:row>
      <xdr:rowOff>51867</xdr:rowOff>
    </xdr:from>
    <xdr:to>
      <xdr:col>7</xdr:col>
      <xdr:colOff>974751</xdr:colOff>
      <xdr:row>2</xdr:row>
      <xdr:rowOff>190500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436C12B-7AD7-4D52-A83F-B7A9FD4136D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71490" y="51867"/>
          <a:ext cx="3223211" cy="69108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918883</xdr:colOff>
      <xdr:row>0</xdr:row>
      <xdr:rowOff>0</xdr:rowOff>
    </xdr:from>
    <xdr:to>
      <xdr:col>12</xdr:col>
      <xdr:colOff>974752</xdr:colOff>
      <xdr:row>2</xdr:row>
      <xdr:rowOff>138633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6827791-CC04-4CD9-8BD9-027B32ECC35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30118" y="0"/>
          <a:ext cx="3238339" cy="68772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549089</xdr:colOff>
      <xdr:row>0</xdr:row>
      <xdr:rowOff>100855</xdr:rowOff>
    </xdr:from>
    <xdr:to>
      <xdr:col>6</xdr:col>
      <xdr:colOff>43704</xdr:colOff>
      <xdr:row>3</xdr:row>
      <xdr:rowOff>22413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2DF3CF7-8CE1-451E-A006-11C0A484CC7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3177" y="100855"/>
          <a:ext cx="2643468" cy="7059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2"/>
  <sheetViews>
    <sheetView tabSelected="1" zoomScale="85" zoomScaleNormal="85" zoomScalePageLayoutView="85" workbookViewId="0">
      <pane ySplit="3" topLeftCell="A4" activePane="bottomLeft" state="frozen"/>
      <selection pane="bottomLeft" activeCell="A7" sqref="A7:B7"/>
    </sheetView>
  </sheetViews>
  <sheetFormatPr baseColWidth="10" defaultColWidth="10.85546875" defaultRowHeight="15" x14ac:dyDescent="0.25"/>
  <cols>
    <col min="1" max="1" width="10.140625" style="9" customWidth="1"/>
    <col min="2" max="2" width="46.5703125" style="9" customWidth="1"/>
    <col min="3" max="8" width="14.7109375" style="9" customWidth="1"/>
    <col min="9" max="9" width="47.28515625" style="60" customWidth="1"/>
    <col min="10" max="10" width="19.42578125" style="38" hidden="1" customWidth="1"/>
    <col min="11" max="16384" width="10.85546875" style="9"/>
  </cols>
  <sheetData>
    <row r="1" spans="1:11" ht="28.5" x14ac:dyDescent="0.25">
      <c r="A1" s="28" t="s">
        <v>46</v>
      </c>
      <c r="B1" s="4"/>
      <c r="C1" s="5"/>
      <c r="D1" s="5"/>
      <c r="E1" s="5"/>
      <c r="G1" s="10"/>
      <c r="H1" s="10"/>
    </row>
    <row r="2" spans="1:11" x14ac:dyDescent="0.25">
      <c r="A2" s="1"/>
      <c r="B2" s="7"/>
      <c r="C2" s="5"/>
      <c r="D2" s="5"/>
      <c r="E2" s="5"/>
      <c r="G2" s="10"/>
      <c r="H2" s="10"/>
    </row>
    <row r="3" spans="1:11" ht="18.75" x14ac:dyDescent="0.25">
      <c r="A3" s="29" t="s">
        <v>45</v>
      </c>
      <c r="B3" s="4"/>
      <c r="G3" s="10"/>
      <c r="H3" s="10"/>
    </row>
    <row r="4" spans="1:11" x14ac:dyDescent="0.25">
      <c r="A4" s="1"/>
      <c r="B4" s="4"/>
      <c r="G4" s="10"/>
      <c r="H4" s="10"/>
    </row>
    <row r="5" spans="1:11" ht="18.75" customHeight="1" x14ac:dyDescent="0.25">
      <c r="A5" s="156" t="s">
        <v>28</v>
      </c>
      <c r="B5" s="156"/>
      <c r="C5" s="156"/>
      <c r="D5" s="156"/>
      <c r="E5" s="156"/>
      <c r="F5" s="156"/>
      <c r="G5" s="156"/>
      <c r="H5" s="156"/>
      <c r="J5" s="39"/>
      <c r="K5" s="2"/>
    </row>
    <row r="6" spans="1:11" ht="18.75" customHeight="1" thickBot="1" x14ac:dyDescent="0.3">
      <c r="A6" s="14"/>
      <c r="B6" s="14"/>
      <c r="C6" s="14"/>
      <c r="D6" s="14"/>
      <c r="E6" s="14"/>
      <c r="F6" s="14"/>
      <c r="G6" s="14"/>
      <c r="H6" s="14"/>
      <c r="I6" s="61"/>
      <c r="J6" s="39" t="s">
        <v>56</v>
      </c>
      <c r="K6" s="2"/>
    </row>
    <row r="7" spans="1:11" ht="53.25" customHeight="1" thickBot="1" x14ac:dyDescent="0.3">
      <c r="A7" s="157" t="s">
        <v>186</v>
      </c>
      <c r="B7" s="158"/>
      <c r="C7" s="159" t="s">
        <v>132</v>
      </c>
      <c r="D7" s="159"/>
      <c r="E7" s="159"/>
      <c r="F7" s="159"/>
      <c r="G7" s="159"/>
      <c r="H7" s="160"/>
      <c r="J7" s="39" t="s">
        <v>52</v>
      </c>
    </row>
    <row r="8" spans="1:11" ht="18" customHeight="1" thickBot="1" x14ac:dyDescent="0.3">
      <c r="A8" s="157" t="s">
        <v>38</v>
      </c>
      <c r="B8" s="158"/>
      <c r="C8" s="161" t="s">
        <v>87</v>
      </c>
      <c r="D8" s="161"/>
      <c r="E8" s="161"/>
      <c r="F8" s="161"/>
      <c r="G8" s="161"/>
      <c r="H8" s="162"/>
      <c r="J8" s="39" t="s">
        <v>58</v>
      </c>
    </row>
    <row r="9" spans="1:11" ht="18" customHeight="1" thickBot="1" x14ac:dyDescent="0.3">
      <c r="A9" s="19" t="s">
        <v>39</v>
      </c>
      <c r="B9" s="20"/>
      <c r="C9" s="16"/>
      <c r="D9" s="16"/>
      <c r="E9" s="19" t="s">
        <v>27</v>
      </c>
      <c r="F9" s="17" t="s">
        <v>88</v>
      </c>
      <c r="G9" s="17"/>
      <c r="H9" s="18"/>
      <c r="J9" s="39" t="s">
        <v>57</v>
      </c>
    </row>
    <row r="10" spans="1:11" ht="6.75" customHeight="1" thickBot="1" x14ac:dyDescent="0.3">
      <c r="A10" s="15"/>
      <c r="B10" s="15"/>
      <c r="E10" s="7"/>
      <c r="F10" s="7"/>
      <c r="G10" s="7"/>
      <c r="H10" s="7"/>
      <c r="J10" s="39" t="s">
        <v>61</v>
      </c>
      <c r="K10" s="2"/>
    </row>
    <row r="11" spans="1:11" ht="16.5" thickBot="1" x14ac:dyDescent="0.3">
      <c r="A11" s="157" t="s">
        <v>30</v>
      </c>
      <c r="B11" s="158"/>
      <c r="C11" s="158"/>
      <c r="D11" s="158"/>
      <c r="E11" s="158"/>
      <c r="F11" s="158"/>
      <c r="G11" s="163" t="s">
        <v>57</v>
      </c>
      <c r="H11" s="164"/>
      <c r="J11" s="39" t="s">
        <v>54</v>
      </c>
    </row>
    <row r="12" spans="1:11" s="3" customFormat="1" ht="16.5" thickBot="1" x14ac:dyDescent="0.3">
      <c r="A12" s="165" t="s">
        <v>29</v>
      </c>
      <c r="B12" s="166"/>
      <c r="C12" s="169">
        <v>85000</v>
      </c>
      <c r="D12" s="170"/>
      <c r="E12" s="165" t="s">
        <v>40</v>
      </c>
      <c r="F12" s="166"/>
      <c r="G12" s="167">
        <v>0</v>
      </c>
      <c r="H12" s="168"/>
      <c r="I12" s="62"/>
      <c r="J12" s="40" t="s">
        <v>55</v>
      </c>
    </row>
    <row r="13" spans="1:11" x14ac:dyDescent="0.25">
      <c r="A13" s="13"/>
      <c r="B13" s="13"/>
      <c r="C13" s="12"/>
      <c r="D13" s="12"/>
      <c r="E13" s="12"/>
      <c r="F13" s="12"/>
      <c r="G13" s="12"/>
      <c r="H13" s="12"/>
      <c r="I13" s="12"/>
      <c r="J13" s="41" t="s">
        <v>53</v>
      </c>
      <c r="K13" s="3"/>
    </row>
    <row r="14" spans="1:11" ht="18.75" x14ac:dyDescent="0.25">
      <c r="A14" s="156" t="s">
        <v>4</v>
      </c>
      <c r="B14" s="156"/>
      <c r="C14" s="156"/>
      <c r="D14" s="156"/>
      <c r="E14" s="156"/>
      <c r="F14" s="156"/>
      <c r="G14" s="156" t="s">
        <v>25</v>
      </c>
      <c r="H14" s="156"/>
      <c r="I14" s="63" t="s">
        <v>65</v>
      </c>
      <c r="J14" s="41"/>
    </row>
    <row r="15" spans="1:11" x14ac:dyDescent="0.25">
      <c r="A15" s="6" t="s">
        <v>8</v>
      </c>
      <c r="B15" s="6" t="s">
        <v>2</v>
      </c>
      <c r="C15" s="6" t="s">
        <v>41</v>
      </c>
      <c r="D15" s="6" t="s">
        <v>3</v>
      </c>
      <c r="E15" s="6" t="s">
        <v>31</v>
      </c>
      <c r="F15" s="6" t="s">
        <v>1</v>
      </c>
      <c r="G15" s="21" t="s">
        <v>37</v>
      </c>
      <c r="H15" s="21" t="s">
        <v>44</v>
      </c>
      <c r="I15" s="64"/>
    </row>
    <row r="16" spans="1:11" x14ac:dyDescent="0.25">
      <c r="A16" s="75" t="s">
        <v>13</v>
      </c>
      <c r="B16" s="9" t="s">
        <v>133</v>
      </c>
      <c r="C16" s="58">
        <v>2</v>
      </c>
      <c r="D16" s="58" t="s">
        <v>3</v>
      </c>
      <c r="E16" s="59">
        <v>2200</v>
      </c>
      <c r="F16" s="33">
        <f>C16*E16</f>
        <v>4400</v>
      </c>
      <c r="G16" s="26">
        <v>10</v>
      </c>
      <c r="H16" s="31">
        <f>1/G16*F16</f>
        <v>440</v>
      </c>
      <c r="I16" s="55" t="s">
        <v>99</v>
      </c>
      <c r="J16" s="41"/>
    </row>
    <row r="17" spans="1:10" ht="14.45" customHeight="1" x14ac:dyDescent="0.25">
      <c r="A17" s="87" t="s">
        <v>14</v>
      </c>
      <c r="B17" s="9" t="s">
        <v>134</v>
      </c>
      <c r="C17" s="58">
        <v>1</v>
      </c>
      <c r="D17" s="58" t="s">
        <v>77</v>
      </c>
      <c r="E17" s="59">
        <f>2500+600</f>
        <v>3100</v>
      </c>
      <c r="F17" s="33">
        <f>C17*E17</f>
        <v>3100</v>
      </c>
      <c r="G17" s="26">
        <v>10</v>
      </c>
      <c r="H17" s="31">
        <f>1/G17*F17</f>
        <v>310</v>
      </c>
      <c r="I17" s="55" t="s">
        <v>92</v>
      </c>
      <c r="J17" s="41"/>
    </row>
    <row r="18" spans="1:10" ht="30" x14ac:dyDescent="0.25">
      <c r="A18" s="87" t="s">
        <v>15</v>
      </c>
      <c r="B18" s="78" t="s">
        <v>135</v>
      </c>
      <c r="C18" s="58">
        <v>1</v>
      </c>
      <c r="D18" s="58" t="s">
        <v>77</v>
      </c>
      <c r="E18" s="59">
        <f>1500+350</f>
        <v>1850</v>
      </c>
      <c r="F18" s="33">
        <f>C18*E18</f>
        <v>1850</v>
      </c>
      <c r="G18" s="26">
        <v>10</v>
      </c>
      <c r="H18" s="31">
        <f t="shared" ref="H18:H19" si="0">1/G18*F18</f>
        <v>185</v>
      </c>
      <c r="I18" s="55" t="s">
        <v>123</v>
      </c>
      <c r="J18" s="41"/>
    </row>
    <row r="19" spans="1:10" s="11" customFormat="1" ht="30" x14ac:dyDescent="0.25">
      <c r="A19" s="87" t="s">
        <v>16</v>
      </c>
      <c r="B19" s="79" t="s">
        <v>78</v>
      </c>
      <c r="C19" s="58">
        <v>1</v>
      </c>
      <c r="D19" s="58" t="s">
        <v>3</v>
      </c>
      <c r="E19" s="59">
        <v>54000</v>
      </c>
      <c r="F19" s="33">
        <f>C19*E19</f>
        <v>54000</v>
      </c>
      <c r="G19" s="26">
        <v>5</v>
      </c>
      <c r="H19" s="31">
        <f t="shared" si="0"/>
        <v>10800</v>
      </c>
      <c r="I19" s="55" t="s">
        <v>79</v>
      </c>
      <c r="J19" s="42"/>
    </row>
    <row r="20" spans="1:10" s="11" customFormat="1" ht="30" x14ac:dyDescent="0.25">
      <c r="A20" s="88" t="s">
        <v>119</v>
      </c>
      <c r="B20" s="79" t="s">
        <v>129</v>
      </c>
      <c r="C20" s="58">
        <v>1</v>
      </c>
      <c r="D20" s="58" t="s">
        <v>77</v>
      </c>
      <c r="E20" s="59">
        <v>2000</v>
      </c>
      <c r="F20" s="33">
        <f>C20*E20</f>
        <v>2000</v>
      </c>
      <c r="G20" s="26"/>
      <c r="H20" s="31"/>
      <c r="I20" s="55"/>
      <c r="J20" s="42"/>
    </row>
    <row r="21" spans="1:10" x14ac:dyDescent="0.25">
      <c r="A21" s="75"/>
      <c r="B21" s="76"/>
      <c r="C21" s="75"/>
      <c r="D21" s="120"/>
      <c r="E21" s="33"/>
      <c r="F21" s="33"/>
      <c r="G21" s="26"/>
      <c r="H21" s="31"/>
      <c r="I21" s="55"/>
    </row>
    <row r="22" spans="1:10" s="7" customFormat="1" x14ac:dyDescent="0.25">
      <c r="A22" s="74" t="s">
        <v>9</v>
      </c>
      <c r="B22" s="155" t="s">
        <v>0</v>
      </c>
      <c r="C22" s="155"/>
      <c r="D22" s="155"/>
      <c r="E22" s="155"/>
      <c r="F22" s="32">
        <f>SUM(F16:F21)</f>
        <v>65350</v>
      </c>
      <c r="G22" s="22"/>
      <c r="H22" s="32">
        <f>SUM(H16:H21)</f>
        <v>11735</v>
      </c>
      <c r="I22" s="56"/>
      <c r="J22" s="40"/>
    </row>
    <row r="23" spans="1:10" x14ac:dyDescent="0.25">
      <c r="A23" s="3"/>
      <c r="B23" s="3"/>
      <c r="C23" s="3"/>
      <c r="D23" s="3"/>
      <c r="E23" s="3"/>
      <c r="F23" s="3"/>
      <c r="G23" s="3"/>
      <c r="H23" s="3"/>
      <c r="I23" s="62"/>
    </row>
    <row r="24" spans="1:10" s="148" customFormat="1" x14ac:dyDescent="0.25">
      <c r="A24" s="142"/>
      <c r="B24" s="143" t="s">
        <v>162</v>
      </c>
      <c r="C24" s="144"/>
      <c r="D24" s="144"/>
      <c r="E24" s="145"/>
      <c r="F24" s="145"/>
      <c r="G24" s="144"/>
      <c r="H24" s="144"/>
      <c r="I24" s="146"/>
      <c r="J24" s="147"/>
    </row>
    <row r="25" spans="1:10" s="78" customFormat="1" ht="14.45" customHeight="1" x14ac:dyDescent="0.25">
      <c r="A25" s="149" t="s">
        <v>13</v>
      </c>
      <c r="B25" s="78" t="s">
        <v>163</v>
      </c>
      <c r="C25" s="149">
        <v>1</v>
      </c>
      <c r="D25" s="149" t="s">
        <v>164</v>
      </c>
      <c r="E25" s="150">
        <v>3500</v>
      </c>
      <c r="F25" s="150">
        <f>C25*E25</f>
        <v>3500</v>
      </c>
      <c r="G25" s="151">
        <v>10</v>
      </c>
      <c r="H25" s="152">
        <f>1/G25*F25</f>
        <v>350</v>
      </c>
      <c r="I25" s="153"/>
      <c r="J25" s="39"/>
    </row>
    <row r="26" spans="1:10" s="78" customFormat="1" ht="14.45" customHeight="1" x14ac:dyDescent="0.25">
      <c r="A26" s="149" t="s">
        <v>14</v>
      </c>
      <c r="B26" s="78" t="s">
        <v>165</v>
      </c>
      <c r="C26" s="149">
        <v>1</v>
      </c>
      <c r="D26" s="154" t="s">
        <v>77</v>
      </c>
      <c r="E26" s="150">
        <v>3000</v>
      </c>
      <c r="F26" s="150">
        <f>C26*E26</f>
        <v>3000</v>
      </c>
      <c r="G26" s="151">
        <v>10</v>
      </c>
      <c r="H26" s="152">
        <f>1/G26*F26</f>
        <v>300</v>
      </c>
      <c r="I26" s="153" t="s">
        <v>166</v>
      </c>
      <c r="J26" s="39"/>
    </row>
    <row r="27" spans="1:10" s="78" customFormat="1" x14ac:dyDescent="0.25">
      <c r="A27" s="149" t="s">
        <v>15</v>
      </c>
      <c r="B27" s="78" t="s">
        <v>167</v>
      </c>
      <c r="C27" s="149">
        <v>1</v>
      </c>
      <c r="D27" s="149" t="s">
        <v>77</v>
      </c>
      <c r="E27" s="150">
        <v>7000</v>
      </c>
      <c r="F27" s="150">
        <f>C27*E27</f>
        <v>7000</v>
      </c>
      <c r="G27" s="151">
        <v>10</v>
      </c>
      <c r="H27" s="152">
        <f t="shared" ref="H27" si="1">1/G27*F27</f>
        <v>700</v>
      </c>
      <c r="I27" s="153" t="s">
        <v>169</v>
      </c>
      <c r="J27" s="39"/>
    </row>
    <row r="28" spans="1:10" x14ac:dyDescent="0.25">
      <c r="A28" s="3"/>
      <c r="B28" s="3"/>
      <c r="C28" s="3"/>
      <c r="D28" s="3"/>
      <c r="E28" s="3"/>
      <c r="F28" s="3"/>
      <c r="G28" s="3"/>
      <c r="H28" s="3"/>
      <c r="I28" s="62"/>
    </row>
    <row r="29" spans="1:10" s="7" customFormat="1" x14ac:dyDescent="0.25">
      <c r="A29" s="119" t="s">
        <v>9</v>
      </c>
      <c r="B29" s="155" t="s">
        <v>168</v>
      </c>
      <c r="C29" s="155"/>
      <c r="D29" s="155"/>
      <c r="E29" s="155"/>
      <c r="F29" s="32">
        <f>SUM(F25:F28)</f>
        <v>13500</v>
      </c>
      <c r="G29" s="22"/>
      <c r="H29" s="32">
        <f>SUM(H25:H28)</f>
        <v>1350</v>
      </c>
      <c r="I29" s="56"/>
      <c r="J29" s="40"/>
    </row>
    <row r="37" spans="1:2" x14ac:dyDescent="0.25">
      <c r="A37" s="11"/>
      <c r="B37" s="11"/>
    </row>
    <row r="38" spans="1:2" x14ac:dyDescent="0.25">
      <c r="A38" s="11"/>
      <c r="B38" s="11"/>
    </row>
    <row r="39" spans="1:2" x14ac:dyDescent="0.25">
      <c r="A39" s="11"/>
      <c r="B39" s="11"/>
    </row>
    <row r="40" spans="1:2" x14ac:dyDescent="0.25">
      <c r="A40" s="11"/>
      <c r="B40" s="11"/>
    </row>
    <row r="41" spans="1:2" x14ac:dyDescent="0.25">
      <c r="A41" s="11"/>
      <c r="B41" s="11"/>
    </row>
    <row r="42" spans="1:2" x14ac:dyDescent="0.25">
      <c r="B42" s="11"/>
    </row>
  </sheetData>
  <mergeCells count="15">
    <mergeCell ref="B29:E29"/>
    <mergeCell ref="B22:E22"/>
    <mergeCell ref="A5:H5"/>
    <mergeCell ref="A7:B7"/>
    <mergeCell ref="C7:H7"/>
    <mergeCell ref="A8:B8"/>
    <mergeCell ref="C8:H8"/>
    <mergeCell ref="A11:F11"/>
    <mergeCell ref="G11:H11"/>
    <mergeCell ref="A12:B12"/>
    <mergeCell ref="E12:F12"/>
    <mergeCell ref="G12:H12"/>
    <mergeCell ref="A14:F14"/>
    <mergeCell ref="G14:H14"/>
    <mergeCell ref="C12:D12"/>
  </mergeCells>
  <dataValidations count="1">
    <dataValidation type="list" allowBlank="1" showInputMessage="1" showErrorMessage="1" sqref="G11:H11" xr:uid="{00000000-0002-0000-0000-000000000000}">
      <formula1>$J$7:$J$15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87"/>
  <sheetViews>
    <sheetView zoomScale="85" zoomScaleNormal="85" zoomScalePageLayoutView="85" workbookViewId="0">
      <pane ySplit="6" topLeftCell="A59" activePane="bottomLeft" state="frozen"/>
      <selection pane="bottomLeft" activeCell="C66" sqref="C66"/>
    </sheetView>
  </sheetViews>
  <sheetFormatPr baseColWidth="10" defaultColWidth="10.85546875" defaultRowHeight="15" x14ac:dyDescent="0.25"/>
  <cols>
    <col min="1" max="1" width="10.140625" style="9" customWidth="1"/>
    <col min="2" max="2" width="41.28515625" style="9" customWidth="1"/>
    <col min="3" max="9" width="14.7109375" style="9" customWidth="1"/>
    <col min="10" max="10" width="3.42578125" style="9" customWidth="1"/>
    <col min="11" max="13" width="14.7109375" style="37" customWidth="1"/>
    <col min="14" max="14" width="43.85546875" style="52" customWidth="1"/>
    <col min="15" max="15" width="19.7109375" style="9" customWidth="1"/>
    <col min="16" max="16384" width="10.85546875" style="9"/>
  </cols>
  <sheetData>
    <row r="1" spans="1:15" ht="28.5" x14ac:dyDescent="0.25">
      <c r="A1" s="28" t="s">
        <v>36</v>
      </c>
      <c r="B1" s="4"/>
      <c r="C1" s="5"/>
      <c r="D1" s="5"/>
      <c r="F1" s="10"/>
      <c r="G1" s="10"/>
      <c r="H1" s="51"/>
      <c r="I1" s="120"/>
      <c r="J1" s="10"/>
      <c r="K1" s="33"/>
      <c r="L1" s="33"/>
      <c r="M1" s="33"/>
    </row>
    <row r="2" spans="1:15" x14ac:dyDescent="0.25">
      <c r="A2" s="1"/>
      <c r="B2" s="7"/>
      <c r="C2" s="5"/>
      <c r="D2" s="5"/>
      <c r="F2" s="10"/>
      <c r="G2" s="10"/>
      <c r="H2" s="51"/>
      <c r="I2" s="120"/>
      <c r="J2" s="10"/>
      <c r="K2" s="33"/>
      <c r="L2" s="33"/>
      <c r="M2" s="33"/>
    </row>
    <row r="3" spans="1:15" ht="18.75" x14ac:dyDescent="0.25">
      <c r="A3" s="29" t="s">
        <v>47</v>
      </c>
      <c r="B3" s="4"/>
      <c r="F3" s="10"/>
      <c r="G3" s="10"/>
      <c r="H3" s="51"/>
      <c r="I3" s="120"/>
      <c r="J3" s="10"/>
      <c r="K3" s="33"/>
      <c r="L3" s="33"/>
      <c r="M3" s="33"/>
    </row>
    <row r="4" spans="1:15" ht="46.5" customHeight="1" x14ac:dyDescent="0.25">
      <c r="A4" s="184" t="s">
        <v>180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</row>
    <row r="5" spans="1:15" ht="5.25" customHeight="1" thickBot="1" x14ac:dyDescent="0.3">
      <c r="A5" s="1"/>
      <c r="B5" s="4"/>
      <c r="F5" s="10"/>
      <c r="G5" s="10"/>
      <c r="H5" s="51"/>
      <c r="I5" s="120"/>
      <c r="J5" s="10"/>
      <c r="K5" s="33"/>
      <c r="L5" s="33"/>
      <c r="M5" s="33"/>
    </row>
    <row r="6" spans="1:15" ht="16.5" thickBot="1" x14ac:dyDescent="0.3">
      <c r="A6" s="157" t="s">
        <v>30</v>
      </c>
      <c r="B6" s="158"/>
      <c r="C6" s="158"/>
      <c r="D6" s="158"/>
      <c r="E6" s="158"/>
      <c r="F6" s="163" t="s">
        <v>57</v>
      </c>
      <c r="G6" s="164"/>
      <c r="H6" s="75"/>
      <c r="I6" s="120"/>
      <c r="K6" s="34" t="s">
        <v>51</v>
      </c>
      <c r="L6" s="34"/>
      <c r="M6" s="34">
        <f>IF(F6="hebdomadaire",52,IF(F6="quincénaire",26,IF(F6="mensuel",12,IF(F6="trimestrielle (3mois)",4,IF(F6="semestre (6mois)",2,IF(F6="annuel",1,IF(F6="bimensuel (2mois)",6,1)))))))</f>
        <v>12</v>
      </c>
    </row>
    <row r="7" spans="1:15" ht="15.75" thickBot="1" x14ac:dyDescent="0.3">
      <c r="A7" s="1"/>
      <c r="B7" s="4"/>
      <c r="F7" s="10"/>
      <c r="G7" s="10"/>
      <c r="H7" s="51"/>
      <c r="I7" s="120"/>
      <c r="J7" s="10"/>
      <c r="K7" s="33"/>
      <c r="L7" s="33"/>
      <c r="M7" s="33"/>
    </row>
    <row r="8" spans="1:15" ht="18.75" x14ac:dyDescent="0.25">
      <c r="A8" s="156" t="s">
        <v>32</v>
      </c>
      <c r="B8" s="156"/>
      <c r="C8" s="156"/>
      <c r="D8" s="156"/>
      <c r="E8" s="156"/>
      <c r="F8" s="156"/>
      <c r="G8" s="156"/>
      <c r="H8" s="171" t="s">
        <v>161</v>
      </c>
      <c r="I8" s="172"/>
      <c r="J8" s="10"/>
      <c r="K8" s="35" t="s">
        <v>49</v>
      </c>
      <c r="L8" s="35" t="s">
        <v>48</v>
      </c>
      <c r="M8" s="35" t="s">
        <v>50</v>
      </c>
      <c r="N8" s="53" t="s">
        <v>65</v>
      </c>
      <c r="O8" s="46"/>
    </row>
    <row r="9" spans="1:15" ht="14.45" customHeight="1" x14ac:dyDescent="0.25">
      <c r="A9" s="6" t="s">
        <v>10</v>
      </c>
      <c r="B9" s="25" t="s">
        <v>26</v>
      </c>
      <c r="C9" s="6" t="s">
        <v>41</v>
      </c>
      <c r="D9" s="6" t="s">
        <v>3</v>
      </c>
      <c r="E9" s="6" t="s">
        <v>31</v>
      </c>
      <c r="F9" s="6" t="s">
        <v>3</v>
      </c>
      <c r="G9" s="6" t="s">
        <v>68</v>
      </c>
      <c r="H9" s="122" t="s">
        <v>69</v>
      </c>
      <c r="I9" s="123" t="s">
        <v>3</v>
      </c>
      <c r="J9" s="10"/>
      <c r="K9" s="36" t="s">
        <v>1</v>
      </c>
      <c r="L9" s="36" t="s">
        <v>1</v>
      </c>
      <c r="M9" s="36" t="s">
        <v>1</v>
      </c>
      <c r="N9" s="54"/>
    </row>
    <row r="10" spans="1:15" x14ac:dyDescent="0.25">
      <c r="A10" s="23"/>
      <c r="B10" s="24" t="s">
        <v>5</v>
      </c>
      <c r="C10" s="21"/>
      <c r="D10" s="21"/>
      <c r="E10" s="26"/>
      <c r="F10" s="26"/>
      <c r="G10" s="26"/>
      <c r="H10" s="124"/>
      <c r="I10" s="125"/>
      <c r="J10" s="10"/>
      <c r="K10" s="31"/>
      <c r="L10" s="31"/>
      <c r="M10" s="31"/>
      <c r="N10" s="55"/>
      <c r="O10" s="2"/>
    </row>
    <row r="11" spans="1:15" x14ac:dyDescent="0.25">
      <c r="A11" s="10" t="s">
        <v>17</v>
      </c>
      <c r="B11" s="11" t="s">
        <v>136</v>
      </c>
      <c r="C11" s="58">
        <v>1</v>
      </c>
      <c r="D11" s="58" t="s">
        <v>81</v>
      </c>
      <c r="E11" s="59">
        <v>1000</v>
      </c>
      <c r="F11" s="47" t="s">
        <v>62</v>
      </c>
      <c r="G11" s="33">
        <f>C11*E11</f>
        <v>1000</v>
      </c>
      <c r="H11" s="126">
        <f>G11</f>
        <v>1000</v>
      </c>
      <c r="I11" s="127" t="s">
        <v>62</v>
      </c>
      <c r="J11" s="10"/>
      <c r="K11" s="33">
        <f>H11*$M$6</f>
        <v>12000</v>
      </c>
      <c r="L11" s="33">
        <f>K11</f>
        <v>12000</v>
      </c>
      <c r="M11" s="33">
        <f>L11</f>
        <v>12000</v>
      </c>
      <c r="O11" s="2"/>
    </row>
    <row r="12" spans="1:15" x14ac:dyDescent="0.25">
      <c r="A12" s="77" t="s">
        <v>18</v>
      </c>
      <c r="B12" s="11" t="s">
        <v>153</v>
      </c>
      <c r="C12" s="72">
        <f>1/6</f>
        <v>0.16666666666666666</v>
      </c>
      <c r="D12" s="58" t="s">
        <v>73</v>
      </c>
      <c r="E12" s="59">
        <v>1500</v>
      </c>
      <c r="F12" s="77" t="s">
        <v>62</v>
      </c>
      <c r="G12" s="33">
        <f t="shared" ref="G12" si="0">C12*E12</f>
        <v>250</v>
      </c>
      <c r="H12" s="126">
        <f t="shared" ref="H12" si="1">G12</f>
        <v>250</v>
      </c>
      <c r="I12" s="127" t="s">
        <v>62</v>
      </c>
      <c r="J12" s="77"/>
      <c r="K12" s="33">
        <f t="shared" ref="K12" si="2">H12*$M$6</f>
        <v>3000</v>
      </c>
      <c r="L12" s="33">
        <f t="shared" ref="L12" si="3">K12</f>
        <v>3000</v>
      </c>
      <c r="M12" s="33">
        <f t="shared" ref="M12" si="4">L12</f>
        <v>3000</v>
      </c>
      <c r="O12" s="2"/>
    </row>
    <row r="13" spans="1:15" x14ac:dyDescent="0.25">
      <c r="A13" s="10"/>
      <c r="B13" s="11"/>
      <c r="C13" s="58"/>
      <c r="D13" s="58"/>
      <c r="E13" s="59"/>
      <c r="F13" s="45"/>
      <c r="G13" s="33"/>
      <c r="H13" s="126"/>
      <c r="I13" s="127"/>
      <c r="J13" s="10"/>
      <c r="K13" s="33"/>
      <c r="L13" s="33"/>
      <c r="M13" s="33"/>
      <c r="O13" s="2"/>
    </row>
    <row r="14" spans="1:15" x14ac:dyDescent="0.25">
      <c r="A14" s="23"/>
      <c r="B14" s="24" t="s">
        <v>6</v>
      </c>
      <c r="C14" s="21"/>
      <c r="D14" s="21"/>
      <c r="E14" s="26"/>
      <c r="F14" s="26"/>
      <c r="G14" s="65"/>
      <c r="H14" s="128"/>
      <c r="I14" s="129"/>
      <c r="J14" s="10"/>
      <c r="K14" s="31"/>
      <c r="L14" s="31"/>
      <c r="M14" s="31"/>
      <c r="N14" s="55"/>
    </row>
    <row r="15" spans="1:15" s="30" customFormat="1" x14ac:dyDescent="0.25">
      <c r="A15" s="66"/>
      <c r="B15" s="67" t="s">
        <v>71</v>
      </c>
      <c r="C15" s="68"/>
      <c r="D15" s="68"/>
      <c r="E15" s="68"/>
      <c r="F15" s="68"/>
      <c r="G15" s="68" t="s">
        <v>70</v>
      </c>
      <c r="H15" s="128" t="s">
        <v>72</v>
      </c>
      <c r="I15" s="129"/>
      <c r="J15" s="69"/>
      <c r="K15" s="70"/>
      <c r="L15" s="70"/>
      <c r="M15" s="70"/>
      <c r="N15" s="71"/>
    </row>
    <row r="16" spans="1:15" s="11" customFormat="1" x14ac:dyDescent="0.25">
      <c r="A16" s="58" t="s">
        <v>18</v>
      </c>
      <c r="B16" s="11" t="s">
        <v>89</v>
      </c>
      <c r="C16" s="85">
        <f>88</f>
        <v>88</v>
      </c>
      <c r="D16" s="58" t="s">
        <v>91</v>
      </c>
      <c r="E16" s="59">
        <v>50</v>
      </c>
      <c r="F16" s="58" t="s">
        <v>62</v>
      </c>
      <c r="G16" s="59">
        <f t="shared" ref="G16" si="5">C16*E16</f>
        <v>4400</v>
      </c>
      <c r="H16" s="130">
        <f>G16*52/12</f>
        <v>19066.666666666668</v>
      </c>
      <c r="I16" s="127" t="s">
        <v>62</v>
      </c>
      <c r="J16" s="58"/>
      <c r="K16" s="59">
        <f t="shared" ref="K16" si="6">H16*$M$6</f>
        <v>228800</v>
      </c>
      <c r="L16" s="59">
        <f>K16</f>
        <v>228800</v>
      </c>
      <c r="M16" s="59">
        <f>L16</f>
        <v>228800</v>
      </c>
      <c r="N16" s="86" t="s">
        <v>101</v>
      </c>
    </row>
    <row r="17" spans="1:16" s="11" customFormat="1" x14ac:dyDescent="0.25">
      <c r="A17" s="58" t="s">
        <v>19</v>
      </c>
      <c r="B17" s="11" t="s">
        <v>93</v>
      </c>
      <c r="C17" s="85">
        <f>C16</f>
        <v>88</v>
      </c>
      <c r="D17" s="58" t="s">
        <v>91</v>
      </c>
      <c r="E17" s="59">
        <v>40</v>
      </c>
      <c r="F17" s="58" t="s">
        <v>62</v>
      </c>
      <c r="G17" s="59">
        <f t="shared" ref="G17:G29" si="7">C17*E17</f>
        <v>3520</v>
      </c>
      <c r="H17" s="130">
        <f t="shared" ref="H17:H29" si="8">G17*52/12</f>
        <v>15253.333333333334</v>
      </c>
      <c r="I17" s="127" t="s">
        <v>62</v>
      </c>
      <c r="J17" s="58"/>
      <c r="K17" s="59">
        <f t="shared" ref="K17:K29" si="9">H17*$M$6</f>
        <v>183040</v>
      </c>
      <c r="L17" s="59">
        <f t="shared" ref="L17:M17" si="10">K17</f>
        <v>183040</v>
      </c>
      <c r="M17" s="59">
        <f t="shared" si="10"/>
        <v>183040</v>
      </c>
      <c r="N17" s="86"/>
    </row>
    <row r="18" spans="1:16" s="11" customFormat="1" x14ac:dyDescent="0.25">
      <c r="A18" s="58" t="s">
        <v>20</v>
      </c>
      <c r="B18" s="11" t="s">
        <v>90</v>
      </c>
      <c r="C18" s="58">
        <v>2</v>
      </c>
      <c r="D18" s="58" t="s">
        <v>80</v>
      </c>
      <c r="E18" s="59">
        <v>300</v>
      </c>
      <c r="F18" s="58" t="s">
        <v>62</v>
      </c>
      <c r="G18" s="59">
        <f t="shared" si="7"/>
        <v>600</v>
      </c>
      <c r="H18" s="130">
        <f t="shared" si="8"/>
        <v>2600</v>
      </c>
      <c r="I18" s="127" t="s">
        <v>62</v>
      </c>
      <c r="J18" s="58"/>
      <c r="K18" s="59">
        <f t="shared" si="9"/>
        <v>31200</v>
      </c>
      <c r="L18" s="59">
        <f t="shared" ref="L18:M19" si="11">K18</f>
        <v>31200</v>
      </c>
      <c r="M18" s="59">
        <f t="shared" si="11"/>
        <v>31200</v>
      </c>
      <c r="N18" s="86" t="s">
        <v>100</v>
      </c>
      <c r="O18" s="2"/>
    </row>
    <row r="19" spans="1:16" x14ac:dyDescent="0.25">
      <c r="A19" s="58" t="s">
        <v>21</v>
      </c>
      <c r="B19" s="9" t="s">
        <v>120</v>
      </c>
      <c r="C19" s="87">
        <f>24</f>
        <v>24</v>
      </c>
      <c r="D19" s="87" t="s">
        <v>84</v>
      </c>
      <c r="E19" s="33">
        <f>100/12</f>
        <v>8.3333333333333339</v>
      </c>
      <c r="F19" s="87" t="s">
        <v>62</v>
      </c>
      <c r="G19" s="59">
        <f t="shared" ref="G19" si="12">C19*E19</f>
        <v>200</v>
      </c>
      <c r="H19" s="130">
        <f t="shared" ref="H19" si="13">G19*52/12</f>
        <v>866.66666666666663</v>
      </c>
      <c r="I19" s="127" t="s">
        <v>62</v>
      </c>
      <c r="J19" s="87"/>
      <c r="K19" s="59">
        <f t="shared" si="9"/>
        <v>10400</v>
      </c>
      <c r="L19" s="59">
        <f t="shared" si="11"/>
        <v>10400</v>
      </c>
      <c r="M19" s="59">
        <f t="shared" si="11"/>
        <v>10400</v>
      </c>
      <c r="N19" s="52" t="s">
        <v>121</v>
      </c>
    </row>
    <row r="20" spans="1:16" x14ac:dyDescent="0.25">
      <c r="A20" s="58" t="s">
        <v>64</v>
      </c>
      <c r="B20" s="9" t="s">
        <v>103</v>
      </c>
      <c r="C20" s="50">
        <f>10*7</f>
        <v>70</v>
      </c>
      <c r="D20" s="87" t="s">
        <v>84</v>
      </c>
      <c r="E20" s="33">
        <f>125/12</f>
        <v>10.416666666666666</v>
      </c>
      <c r="F20" s="45" t="s">
        <v>62</v>
      </c>
      <c r="G20" s="59">
        <f t="shared" si="7"/>
        <v>729.16666666666663</v>
      </c>
      <c r="H20" s="130">
        <f t="shared" si="8"/>
        <v>3159.7222222222222</v>
      </c>
      <c r="I20" s="127" t="s">
        <v>62</v>
      </c>
      <c r="J20" s="10"/>
      <c r="K20" s="59">
        <f t="shared" ref="K20" si="14">H20*$M$6</f>
        <v>37916.666666666664</v>
      </c>
      <c r="L20" s="59">
        <f t="shared" ref="L20" si="15">K20</f>
        <v>37916.666666666664</v>
      </c>
      <c r="M20" s="59">
        <f t="shared" ref="M20" si="16">L20</f>
        <v>37916.666666666664</v>
      </c>
      <c r="N20" s="52" t="s">
        <v>109</v>
      </c>
    </row>
    <row r="21" spans="1:16" x14ac:dyDescent="0.25">
      <c r="A21" s="58" t="s">
        <v>66</v>
      </c>
      <c r="B21" s="9" t="s">
        <v>104</v>
      </c>
      <c r="C21" s="87">
        <v>50</v>
      </c>
      <c r="D21" s="87" t="s">
        <v>84</v>
      </c>
      <c r="E21" s="33">
        <f>330/27</f>
        <v>12.222222222222221</v>
      </c>
      <c r="F21" s="87" t="s">
        <v>62</v>
      </c>
      <c r="G21" s="59">
        <f t="shared" ref="G21:G24" si="17">C21*E21</f>
        <v>611.11111111111109</v>
      </c>
      <c r="H21" s="130">
        <f t="shared" ref="H21:H24" si="18">G21*52/12</f>
        <v>2648.1481481481483</v>
      </c>
      <c r="I21" s="127" t="s">
        <v>62</v>
      </c>
      <c r="J21" s="87"/>
      <c r="K21" s="59">
        <f t="shared" ref="K21:K24" si="19">H21*$M$6</f>
        <v>31777.777777777781</v>
      </c>
      <c r="L21" s="59">
        <f t="shared" ref="L21:L24" si="20">K21</f>
        <v>31777.777777777781</v>
      </c>
      <c r="M21" s="59">
        <f t="shared" ref="M21:M24" si="21">L21</f>
        <v>31777.777777777781</v>
      </c>
      <c r="N21" s="52" t="s">
        <v>108</v>
      </c>
    </row>
    <row r="22" spans="1:16" x14ac:dyDescent="0.25">
      <c r="A22" s="58" t="s">
        <v>67</v>
      </c>
      <c r="B22" s="9" t="s">
        <v>105</v>
      </c>
      <c r="C22" s="87">
        <v>70</v>
      </c>
      <c r="D22" s="87" t="s">
        <v>84</v>
      </c>
      <c r="E22" s="33">
        <v>10</v>
      </c>
      <c r="F22" s="87" t="s">
        <v>62</v>
      </c>
      <c r="G22" s="59">
        <f t="shared" si="17"/>
        <v>700</v>
      </c>
      <c r="H22" s="130">
        <f t="shared" si="18"/>
        <v>3033.3333333333335</v>
      </c>
      <c r="I22" s="127" t="s">
        <v>62</v>
      </c>
      <c r="J22" s="87"/>
      <c r="K22" s="59">
        <f t="shared" si="19"/>
        <v>36400</v>
      </c>
      <c r="L22" s="59">
        <f t="shared" si="20"/>
        <v>36400</v>
      </c>
      <c r="M22" s="59">
        <f t="shared" si="21"/>
        <v>36400</v>
      </c>
    </row>
    <row r="23" spans="1:16" x14ac:dyDescent="0.25">
      <c r="A23" s="58" t="s">
        <v>124</v>
      </c>
      <c r="B23" s="9" t="s">
        <v>106</v>
      </c>
      <c r="C23" s="87">
        <v>70</v>
      </c>
      <c r="D23" s="87" t="s">
        <v>84</v>
      </c>
      <c r="E23" s="33">
        <v>15</v>
      </c>
      <c r="F23" s="87" t="s">
        <v>62</v>
      </c>
      <c r="G23" s="59">
        <f t="shared" si="17"/>
        <v>1050</v>
      </c>
      <c r="H23" s="130">
        <f t="shared" si="18"/>
        <v>4550</v>
      </c>
      <c r="I23" s="127" t="s">
        <v>62</v>
      </c>
      <c r="J23" s="87"/>
      <c r="K23" s="59">
        <f t="shared" si="19"/>
        <v>54600</v>
      </c>
      <c r="L23" s="59">
        <f t="shared" si="20"/>
        <v>54600</v>
      </c>
      <c r="M23" s="59">
        <f t="shared" si="21"/>
        <v>54600</v>
      </c>
    </row>
    <row r="24" spans="1:16" x14ac:dyDescent="0.25">
      <c r="A24" s="58" t="s">
        <v>125</v>
      </c>
      <c r="B24" s="9" t="s">
        <v>107</v>
      </c>
      <c r="C24" s="87">
        <v>35</v>
      </c>
      <c r="D24" s="87" t="s">
        <v>84</v>
      </c>
      <c r="E24" s="33">
        <f>350/24</f>
        <v>14.583333333333334</v>
      </c>
      <c r="F24" s="87" t="s">
        <v>62</v>
      </c>
      <c r="G24" s="59">
        <f t="shared" si="17"/>
        <v>510.41666666666669</v>
      </c>
      <c r="H24" s="130">
        <f t="shared" si="18"/>
        <v>2211.8055555555557</v>
      </c>
      <c r="I24" s="127" t="s">
        <v>62</v>
      </c>
      <c r="J24" s="87"/>
      <c r="K24" s="59">
        <f t="shared" si="19"/>
        <v>26541.666666666668</v>
      </c>
      <c r="L24" s="59">
        <f t="shared" si="20"/>
        <v>26541.666666666668</v>
      </c>
      <c r="M24" s="59">
        <f t="shared" si="21"/>
        <v>26541.666666666668</v>
      </c>
      <c r="N24" s="52" t="s">
        <v>110</v>
      </c>
    </row>
    <row r="25" spans="1:16" s="11" customFormat="1" x14ac:dyDescent="0.25">
      <c r="A25" s="58" t="s">
        <v>126</v>
      </c>
      <c r="B25" s="11" t="s">
        <v>102</v>
      </c>
      <c r="C25" s="58">
        <v>1</v>
      </c>
      <c r="D25" s="58" t="s">
        <v>80</v>
      </c>
      <c r="E25" s="59">
        <v>400</v>
      </c>
      <c r="F25" s="58" t="s">
        <v>62</v>
      </c>
      <c r="G25" s="59">
        <f t="shared" ref="G25" si="22">C25*E25</f>
        <v>400</v>
      </c>
      <c r="H25" s="130">
        <f t="shared" ref="H25" si="23">G25*52/12</f>
        <v>1733.3333333333333</v>
      </c>
      <c r="I25" s="127" t="s">
        <v>62</v>
      </c>
      <c r="J25" s="58"/>
      <c r="K25" s="59">
        <f t="shared" ref="K25" si="24">H25*$M$6</f>
        <v>20800</v>
      </c>
      <c r="L25" s="59">
        <f t="shared" ref="L25:M25" si="25">K25</f>
        <v>20800</v>
      </c>
      <c r="M25" s="59">
        <f t="shared" si="25"/>
        <v>20800</v>
      </c>
      <c r="N25" s="86" t="s">
        <v>154</v>
      </c>
      <c r="O25" s="2"/>
    </row>
    <row r="26" spans="1:16" x14ac:dyDescent="0.25">
      <c r="A26" s="58" t="s">
        <v>127</v>
      </c>
      <c r="B26" s="11" t="s">
        <v>111</v>
      </c>
      <c r="C26" s="58">
        <v>1</v>
      </c>
      <c r="D26" s="58" t="s">
        <v>91</v>
      </c>
      <c r="E26" s="59">
        <v>120</v>
      </c>
      <c r="F26" s="58" t="s">
        <v>62</v>
      </c>
      <c r="G26" s="59">
        <f t="shared" si="7"/>
        <v>120</v>
      </c>
      <c r="H26" s="130">
        <f t="shared" si="8"/>
        <v>520</v>
      </c>
      <c r="I26" s="127" t="s">
        <v>62</v>
      </c>
      <c r="J26" s="10"/>
      <c r="K26" s="59">
        <f t="shared" si="9"/>
        <v>6240</v>
      </c>
      <c r="L26" s="59">
        <f t="shared" ref="L26:M27" si="26">K26</f>
        <v>6240</v>
      </c>
      <c r="M26" s="59">
        <f t="shared" si="26"/>
        <v>6240</v>
      </c>
      <c r="N26" s="52" t="s">
        <v>112</v>
      </c>
    </row>
    <row r="27" spans="1:16" x14ac:dyDescent="0.25">
      <c r="A27" s="58" t="s">
        <v>128</v>
      </c>
      <c r="B27" s="11" t="s">
        <v>113</v>
      </c>
      <c r="C27" s="58">
        <v>1</v>
      </c>
      <c r="D27" s="58" t="s">
        <v>114</v>
      </c>
      <c r="E27" s="59">
        <v>125</v>
      </c>
      <c r="F27" s="58" t="s">
        <v>62</v>
      </c>
      <c r="G27" s="59">
        <f t="shared" si="7"/>
        <v>125</v>
      </c>
      <c r="H27" s="130">
        <f t="shared" si="8"/>
        <v>541.66666666666663</v>
      </c>
      <c r="I27" s="127" t="s">
        <v>62</v>
      </c>
      <c r="J27" s="87"/>
      <c r="K27" s="59">
        <f t="shared" si="9"/>
        <v>6500</v>
      </c>
      <c r="L27" s="59">
        <f t="shared" si="26"/>
        <v>6500</v>
      </c>
      <c r="M27" s="59">
        <f t="shared" si="26"/>
        <v>6500</v>
      </c>
    </row>
    <row r="28" spans="1:16" x14ac:dyDescent="0.25">
      <c r="A28" s="58" t="s">
        <v>130</v>
      </c>
      <c r="B28" s="11" t="s">
        <v>155</v>
      </c>
      <c r="C28" s="58">
        <v>1</v>
      </c>
      <c r="D28" s="58" t="s">
        <v>77</v>
      </c>
      <c r="E28" s="59">
        <v>1000</v>
      </c>
      <c r="F28" s="58" t="s">
        <v>62</v>
      </c>
      <c r="G28" s="59">
        <f t="shared" ref="G28" si="27">C28*E28</f>
        <v>1000</v>
      </c>
      <c r="H28" s="130">
        <f t="shared" ref="H28" si="28">G28*52/12</f>
        <v>4333.333333333333</v>
      </c>
      <c r="I28" s="127" t="s">
        <v>62</v>
      </c>
      <c r="J28" s="87"/>
      <c r="K28" s="59">
        <f t="shared" ref="K28" si="29">H28*$M$6</f>
        <v>52000</v>
      </c>
      <c r="L28" s="59">
        <f t="shared" ref="L28" si="30">K28</f>
        <v>52000</v>
      </c>
      <c r="M28" s="59">
        <f t="shared" ref="M28" si="31">L28</f>
        <v>52000</v>
      </c>
    </row>
    <row r="29" spans="1:16" x14ac:dyDescent="0.25">
      <c r="A29" s="58" t="s">
        <v>131</v>
      </c>
      <c r="B29" s="11" t="s">
        <v>76</v>
      </c>
      <c r="C29" s="58">
        <v>1</v>
      </c>
      <c r="D29" s="58" t="s">
        <v>77</v>
      </c>
      <c r="E29" s="59">
        <f>ROUNDUP(SUM(C39:C47)/2,-1)</f>
        <v>270</v>
      </c>
      <c r="F29" s="58" t="s">
        <v>62</v>
      </c>
      <c r="G29" s="59">
        <f t="shared" si="7"/>
        <v>270</v>
      </c>
      <c r="H29" s="130">
        <f t="shared" si="8"/>
        <v>1170</v>
      </c>
      <c r="I29" s="127" t="s">
        <v>62</v>
      </c>
      <c r="J29" s="77"/>
      <c r="K29" s="59">
        <f t="shared" si="9"/>
        <v>14040</v>
      </c>
      <c r="L29" s="59">
        <f t="shared" ref="L29:M29" si="32">K29</f>
        <v>14040</v>
      </c>
      <c r="M29" s="59">
        <f t="shared" si="32"/>
        <v>14040</v>
      </c>
    </row>
    <row r="30" spans="1:16" x14ac:dyDescent="0.25">
      <c r="A30" s="121"/>
      <c r="C30" s="121"/>
      <c r="D30" s="121"/>
      <c r="E30" s="59"/>
      <c r="F30" s="121"/>
      <c r="G30" s="33"/>
      <c r="H30" s="130"/>
      <c r="I30" s="185"/>
      <c r="J30" s="58"/>
      <c r="K30" s="33"/>
      <c r="L30" s="33"/>
      <c r="M30" s="33"/>
      <c r="O30" s="2"/>
      <c r="P30" s="46"/>
    </row>
    <row r="31" spans="1:16" x14ac:dyDescent="0.25">
      <c r="A31" s="23"/>
      <c r="B31" s="143" t="s">
        <v>170</v>
      </c>
      <c r="C31" s="21"/>
      <c r="D31" s="21"/>
      <c r="E31" s="26"/>
      <c r="F31" s="26"/>
      <c r="G31" s="26"/>
      <c r="H31" s="124"/>
      <c r="I31" s="125"/>
      <c r="J31" s="58"/>
      <c r="K31" s="31"/>
      <c r="L31" s="31"/>
      <c r="M31" s="31"/>
      <c r="N31" s="55"/>
      <c r="O31" s="2"/>
    </row>
    <row r="32" spans="1:16" s="148" customFormat="1" x14ac:dyDescent="0.25">
      <c r="A32" s="186" t="s">
        <v>67</v>
      </c>
      <c r="B32" s="187" t="s">
        <v>172</v>
      </c>
      <c r="C32" s="186">
        <v>8</v>
      </c>
      <c r="D32" s="186" t="s">
        <v>73</v>
      </c>
      <c r="E32" s="188">
        <v>200</v>
      </c>
      <c r="F32" s="186" t="s">
        <v>62</v>
      </c>
      <c r="G32" s="188">
        <f t="shared" ref="G32" si="33">C32*E32</f>
        <v>1600</v>
      </c>
      <c r="H32" s="189"/>
      <c r="I32" s="190" t="s">
        <v>62</v>
      </c>
      <c r="J32" s="191"/>
      <c r="K32" s="188">
        <f>H32*$M$6</f>
        <v>0</v>
      </c>
      <c r="L32" s="188">
        <f>E32*$M$6</f>
        <v>2400</v>
      </c>
      <c r="M32" s="188">
        <f t="shared" ref="M32" si="34">L32</f>
        <v>2400</v>
      </c>
      <c r="N32" s="192" t="s">
        <v>171</v>
      </c>
      <c r="P32" s="193"/>
    </row>
    <row r="33" spans="1:14" x14ac:dyDescent="0.25">
      <c r="A33" s="10"/>
      <c r="C33" s="10"/>
      <c r="D33" s="10"/>
      <c r="E33" s="33"/>
      <c r="F33" s="10"/>
      <c r="G33" s="33"/>
      <c r="H33" s="126"/>
      <c r="I33" s="127"/>
      <c r="J33" s="10"/>
      <c r="K33" s="33"/>
      <c r="L33" s="33"/>
      <c r="M33" s="33"/>
    </row>
    <row r="34" spans="1:14" s="7" customFormat="1" x14ac:dyDescent="0.25">
      <c r="A34" s="27" t="s">
        <v>7</v>
      </c>
      <c r="B34" s="155" t="s">
        <v>0</v>
      </c>
      <c r="C34" s="155"/>
      <c r="D34" s="155"/>
      <c r="E34" s="155"/>
      <c r="F34" s="155"/>
      <c r="G34" s="32">
        <f>SUM(G10:G33)</f>
        <v>17085.694444444445</v>
      </c>
      <c r="H34" s="131">
        <f>SUM(H10:H33)</f>
        <v>62938.009259259255</v>
      </c>
      <c r="I34" s="132" t="s">
        <v>62</v>
      </c>
      <c r="J34" s="8"/>
      <c r="K34" s="32">
        <f>SUM(K10:K33)</f>
        <v>755256.11111111112</v>
      </c>
      <c r="L34" s="32">
        <f>SUM(L10:L33)</f>
        <v>757656.11111111112</v>
      </c>
      <c r="M34" s="32">
        <f>SUM(M10:M33)</f>
        <v>757656.11111111112</v>
      </c>
      <c r="N34" s="56"/>
    </row>
    <row r="35" spans="1:14" ht="24" customHeight="1" x14ac:dyDescent="0.25">
      <c r="G35" s="46"/>
      <c r="H35" s="133"/>
      <c r="I35" s="134"/>
      <c r="J35" s="10"/>
      <c r="K35" s="46"/>
    </row>
    <row r="36" spans="1:14" ht="18.75" x14ac:dyDescent="0.25">
      <c r="A36" s="156" t="s">
        <v>33</v>
      </c>
      <c r="B36" s="156"/>
      <c r="C36" s="156"/>
      <c r="D36" s="156"/>
      <c r="E36" s="156"/>
      <c r="F36" s="156"/>
      <c r="G36" s="156"/>
      <c r="H36" s="173" t="s">
        <v>161</v>
      </c>
      <c r="I36" s="174"/>
      <c r="J36" s="10"/>
      <c r="K36" s="35" t="s">
        <v>49</v>
      </c>
      <c r="L36" s="35" t="s">
        <v>48</v>
      </c>
      <c r="M36" s="35" t="s">
        <v>50</v>
      </c>
      <c r="N36" s="53"/>
    </row>
    <row r="37" spans="1:14" x14ac:dyDescent="0.25">
      <c r="A37" s="6" t="s">
        <v>11</v>
      </c>
      <c r="B37" s="6" t="s">
        <v>34</v>
      </c>
      <c r="C37" s="6" t="s">
        <v>41</v>
      </c>
      <c r="D37" s="6" t="s">
        <v>3</v>
      </c>
      <c r="E37" s="6" t="s">
        <v>35</v>
      </c>
      <c r="F37" s="6" t="s">
        <v>3</v>
      </c>
      <c r="G37" s="6" t="s">
        <v>68</v>
      </c>
      <c r="H37" s="122" t="s">
        <v>69</v>
      </c>
      <c r="I37" s="123" t="s">
        <v>3</v>
      </c>
      <c r="J37" s="10"/>
      <c r="K37" s="36" t="s">
        <v>1</v>
      </c>
      <c r="L37" s="36" t="s">
        <v>1</v>
      </c>
      <c r="M37" s="36" t="s">
        <v>1</v>
      </c>
      <c r="N37" s="54"/>
    </row>
    <row r="38" spans="1:14" s="30" customFormat="1" x14ac:dyDescent="0.25">
      <c r="A38" s="66"/>
      <c r="B38" s="67" t="s">
        <v>74</v>
      </c>
      <c r="C38" s="68"/>
      <c r="D38" s="68"/>
      <c r="E38" s="68"/>
      <c r="F38" s="68"/>
      <c r="G38" s="68" t="s">
        <v>75</v>
      </c>
      <c r="H38" s="128" t="s">
        <v>72</v>
      </c>
      <c r="I38" s="129"/>
      <c r="J38" s="69"/>
      <c r="K38" s="70"/>
      <c r="L38" s="70"/>
      <c r="M38" s="70"/>
      <c r="N38" s="71"/>
    </row>
    <row r="39" spans="1:14" s="11" customFormat="1" x14ac:dyDescent="0.25">
      <c r="A39" s="58" t="s">
        <v>22</v>
      </c>
      <c r="B39" s="11" t="s">
        <v>89</v>
      </c>
      <c r="C39" s="85">
        <f>C16</f>
        <v>88</v>
      </c>
      <c r="D39" s="58" t="s">
        <v>91</v>
      </c>
      <c r="E39" s="59">
        <v>80</v>
      </c>
      <c r="F39" s="58" t="s">
        <v>62</v>
      </c>
      <c r="G39" s="59">
        <f t="shared" ref="G39:G41" si="35">C39*E39</f>
        <v>7040</v>
      </c>
      <c r="H39" s="130">
        <f>G39*52/12</f>
        <v>30506.666666666668</v>
      </c>
      <c r="I39" s="127" t="s">
        <v>62</v>
      </c>
      <c r="J39" s="58"/>
      <c r="K39" s="59">
        <f t="shared" ref="K39" si="36">H39*$M$6</f>
        <v>366080</v>
      </c>
      <c r="L39" s="59">
        <f t="shared" ref="L39:M39" si="37">K39</f>
        <v>366080</v>
      </c>
      <c r="M39" s="59">
        <f t="shared" si="37"/>
        <v>366080</v>
      </c>
      <c r="N39" s="86"/>
    </row>
    <row r="40" spans="1:14" s="11" customFormat="1" x14ac:dyDescent="0.25">
      <c r="A40" s="58" t="s">
        <v>23</v>
      </c>
      <c r="B40" s="11" t="s">
        <v>93</v>
      </c>
      <c r="C40" s="85">
        <f>C17</f>
        <v>88</v>
      </c>
      <c r="D40" s="58" t="s">
        <v>91</v>
      </c>
      <c r="E40" s="59">
        <v>50</v>
      </c>
      <c r="F40" s="58" t="s">
        <v>62</v>
      </c>
      <c r="G40" s="59">
        <f t="shared" si="35"/>
        <v>4400</v>
      </c>
      <c r="H40" s="130">
        <f t="shared" ref="H40:H41" si="38">G40*52/12</f>
        <v>19066.666666666668</v>
      </c>
      <c r="I40" s="127" t="s">
        <v>62</v>
      </c>
      <c r="J40" s="58"/>
      <c r="K40" s="59">
        <f t="shared" ref="K40:K41" si="39">H40*$M$6</f>
        <v>228800</v>
      </c>
      <c r="L40" s="59">
        <f t="shared" ref="L40:L41" si="40">K40</f>
        <v>228800</v>
      </c>
      <c r="M40" s="59">
        <f t="shared" ref="M40:M41" si="41">L40</f>
        <v>228800</v>
      </c>
      <c r="N40" s="86"/>
    </row>
    <row r="41" spans="1:14" s="11" customFormat="1" x14ac:dyDescent="0.25">
      <c r="A41" s="58" t="s">
        <v>95</v>
      </c>
      <c r="B41" s="9" t="s">
        <v>120</v>
      </c>
      <c r="C41" s="85">
        <f>C19</f>
        <v>24</v>
      </c>
      <c r="D41" s="87" t="s">
        <v>84</v>
      </c>
      <c r="E41" s="33">
        <v>10</v>
      </c>
      <c r="F41" s="58" t="s">
        <v>62</v>
      </c>
      <c r="G41" s="59">
        <f t="shared" si="35"/>
        <v>240</v>
      </c>
      <c r="H41" s="130">
        <f t="shared" si="38"/>
        <v>1040</v>
      </c>
      <c r="I41" s="127" t="s">
        <v>62</v>
      </c>
      <c r="J41" s="87"/>
      <c r="K41" s="59">
        <f t="shared" si="39"/>
        <v>12480</v>
      </c>
      <c r="L41" s="59">
        <f t="shared" si="40"/>
        <v>12480</v>
      </c>
      <c r="M41" s="59">
        <f t="shared" si="41"/>
        <v>12480</v>
      </c>
      <c r="N41" s="52"/>
    </row>
    <row r="42" spans="1:14" s="11" customFormat="1" x14ac:dyDescent="0.25">
      <c r="A42" s="58" t="s">
        <v>96</v>
      </c>
      <c r="B42" s="9" t="s">
        <v>103</v>
      </c>
      <c r="C42" s="85">
        <f>C20</f>
        <v>70</v>
      </c>
      <c r="D42" s="87" t="s">
        <v>84</v>
      </c>
      <c r="E42" s="33">
        <v>20</v>
      </c>
      <c r="F42" s="58" t="s">
        <v>62</v>
      </c>
      <c r="G42" s="59">
        <f t="shared" ref="G42:G46" si="42">C42*E42</f>
        <v>1400</v>
      </c>
      <c r="H42" s="130">
        <f t="shared" ref="H42:H46" si="43">G42*52/12</f>
        <v>6066.666666666667</v>
      </c>
      <c r="I42" s="127" t="s">
        <v>62</v>
      </c>
      <c r="J42" s="87"/>
      <c r="K42" s="59">
        <f t="shared" ref="K42:K46" si="44">H42*$M$6</f>
        <v>72800</v>
      </c>
      <c r="L42" s="59">
        <f t="shared" ref="L42:L46" si="45">K42</f>
        <v>72800</v>
      </c>
      <c r="M42" s="59">
        <f t="shared" ref="M42:M46" si="46">L42</f>
        <v>72800</v>
      </c>
      <c r="N42" s="52"/>
    </row>
    <row r="43" spans="1:14" s="11" customFormat="1" x14ac:dyDescent="0.25">
      <c r="A43" s="58" t="s">
        <v>97</v>
      </c>
      <c r="B43" s="9" t="s">
        <v>104</v>
      </c>
      <c r="C43" s="85">
        <f>C21</f>
        <v>50</v>
      </c>
      <c r="D43" s="87" t="s">
        <v>84</v>
      </c>
      <c r="E43" s="33">
        <v>15</v>
      </c>
      <c r="F43" s="58" t="s">
        <v>62</v>
      </c>
      <c r="G43" s="59">
        <f t="shared" si="42"/>
        <v>750</v>
      </c>
      <c r="H43" s="130">
        <f t="shared" si="43"/>
        <v>3250</v>
      </c>
      <c r="I43" s="127" t="s">
        <v>62</v>
      </c>
      <c r="J43" s="87"/>
      <c r="K43" s="59">
        <f t="shared" si="44"/>
        <v>39000</v>
      </c>
      <c r="L43" s="59">
        <f t="shared" si="45"/>
        <v>39000</v>
      </c>
      <c r="M43" s="59">
        <f t="shared" si="46"/>
        <v>39000</v>
      </c>
      <c r="N43" s="52"/>
    </row>
    <row r="44" spans="1:14" s="11" customFormat="1" x14ac:dyDescent="0.25">
      <c r="A44" s="58" t="s">
        <v>98</v>
      </c>
      <c r="B44" s="9" t="s">
        <v>105</v>
      </c>
      <c r="C44" s="85">
        <f>C22</f>
        <v>70</v>
      </c>
      <c r="D44" s="87" t="s">
        <v>84</v>
      </c>
      <c r="E44" s="33">
        <v>15</v>
      </c>
      <c r="F44" s="58" t="s">
        <v>62</v>
      </c>
      <c r="G44" s="59">
        <f t="shared" si="42"/>
        <v>1050</v>
      </c>
      <c r="H44" s="130">
        <f t="shared" si="43"/>
        <v>4550</v>
      </c>
      <c r="I44" s="127" t="s">
        <v>62</v>
      </c>
      <c r="J44" s="87"/>
      <c r="K44" s="59">
        <f t="shared" si="44"/>
        <v>54600</v>
      </c>
      <c r="L44" s="59">
        <f t="shared" si="45"/>
        <v>54600</v>
      </c>
      <c r="M44" s="59">
        <f t="shared" si="46"/>
        <v>54600</v>
      </c>
      <c r="N44" s="52"/>
    </row>
    <row r="45" spans="1:14" s="11" customFormat="1" x14ac:dyDescent="0.25">
      <c r="A45" s="58" t="s">
        <v>116</v>
      </c>
      <c r="B45" s="9" t="s">
        <v>106</v>
      </c>
      <c r="C45" s="85">
        <f>C23</f>
        <v>70</v>
      </c>
      <c r="D45" s="87" t="s">
        <v>84</v>
      </c>
      <c r="E45" s="33">
        <v>25</v>
      </c>
      <c r="F45" s="58" t="s">
        <v>62</v>
      </c>
      <c r="G45" s="59">
        <f t="shared" si="42"/>
        <v>1750</v>
      </c>
      <c r="H45" s="130">
        <f t="shared" si="43"/>
        <v>7583.333333333333</v>
      </c>
      <c r="I45" s="127" t="s">
        <v>62</v>
      </c>
      <c r="J45" s="87"/>
      <c r="K45" s="59">
        <f t="shared" si="44"/>
        <v>91000</v>
      </c>
      <c r="L45" s="59">
        <f t="shared" si="45"/>
        <v>91000</v>
      </c>
      <c r="M45" s="59">
        <f t="shared" si="46"/>
        <v>91000</v>
      </c>
      <c r="N45" s="52"/>
    </row>
    <row r="46" spans="1:14" s="11" customFormat="1" x14ac:dyDescent="0.25">
      <c r="A46" s="58" t="s">
        <v>117</v>
      </c>
      <c r="B46" s="9" t="s">
        <v>107</v>
      </c>
      <c r="C46" s="85">
        <f>C24</f>
        <v>35</v>
      </c>
      <c r="D46" s="87" t="s">
        <v>84</v>
      </c>
      <c r="E46" s="33">
        <v>20</v>
      </c>
      <c r="F46" s="58" t="s">
        <v>62</v>
      </c>
      <c r="G46" s="59">
        <f t="shared" si="42"/>
        <v>700</v>
      </c>
      <c r="H46" s="130">
        <f t="shared" si="43"/>
        <v>3033.3333333333335</v>
      </c>
      <c r="I46" s="127" t="s">
        <v>62</v>
      </c>
      <c r="J46" s="87"/>
      <c r="K46" s="59">
        <f t="shared" si="44"/>
        <v>36400</v>
      </c>
      <c r="L46" s="59">
        <f t="shared" si="45"/>
        <v>36400</v>
      </c>
      <c r="M46" s="59">
        <f t="shared" si="46"/>
        <v>36400</v>
      </c>
      <c r="N46" s="52"/>
    </row>
    <row r="47" spans="1:14" s="11" customFormat="1" x14ac:dyDescent="0.25">
      <c r="A47" s="58" t="s">
        <v>118</v>
      </c>
      <c r="B47" s="11" t="s">
        <v>94</v>
      </c>
      <c r="C47" s="85">
        <v>40</v>
      </c>
      <c r="D47" s="58" t="s">
        <v>115</v>
      </c>
      <c r="E47" s="33">
        <v>10</v>
      </c>
      <c r="F47" s="58" t="s">
        <v>62</v>
      </c>
      <c r="G47" s="59">
        <f t="shared" ref="G47:G48" si="47">C47*E47</f>
        <v>400</v>
      </c>
      <c r="H47" s="130">
        <f t="shared" ref="H47:H48" si="48">G47*52/12</f>
        <v>1733.3333333333333</v>
      </c>
      <c r="I47" s="127" t="s">
        <v>62</v>
      </c>
      <c r="J47" s="87"/>
      <c r="K47" s="59">
        <f t="shared" ref="K47:K48" si="49">H47*$M$6</f>
        <v>20800</v>
      </c>
      <c r="L47" s="59">
        <f t="shared" ref="L47:L48" si="50">K47</f>
        <v>20800</v>
      </c>
      <c r="M47" s="59">
        <f t="shared" ref="M47:M48" si="51">L47</f>
        <v>20800</v>
      </c>
      <c r="N47" s="52"/>
    </row>
    <row r="48" spans="1:14" x14ac:dyDescent="0.25">
      <c r="A48" s="58" t="s">
        <v>122</v>
      </c>
      <c r="B48" s="11" t="s">
        <v>155</v>
      </c>
      <c r="C48" s="58">
        <f>C28</f>
        <v>1</v>
      </c>
      <c r="D48" s="58" t="s">
        <v>77</v>
      </c>
      <c r="E48" s="59">
        <v>1080</v>
      </c>
      <c r="F48" s="58" t="s">
        <v>62</v>
      </c>
      <c r="G48" s="59">
        <f t="shared" si="47"/>
        <v>1080</v>
      </c>
      <c r="H48" s="130">
        <f t="shared" si="48"/>
        <v>4680</v>
      </c>
      <c r="I48" s="127" t="s">
        <v>62</v>
      </c>
      <c r="J48" s="87"/>
      <c r="K48" s="59">
        <f t="shared" si="49"/>
        <v>56160</v>
      </c>
      <c r="L48" s="59">
        <f t="shared" si="50"/>
        <v>56160</v>
      </c>
      <c r="M48" s="59">
        <f t="shared" si="51"/>
        <v>56160</v>
      </c>
    </row>
    <row r="49" spans="1:17" x14ac:dyDescent="0.25">
      <c r="A49" s="58"/>
      <c r="B49" s="11"/>
      <c r="C49" s="58"/>
      <c r="D49" s="58"/>
      <c r="E49" s="59"/>
      <c r="F49" s="58"/>
      <c r="G49" s="59"/>
      <c r="H49" s="130"/>
      <c r="I49" s="127"/>
      <c r="J49" s="121"/>
      <c r="K49" s="59"/>
      <c r="L49" s="59"/>
      <c r="M49" s="59"/>
    </row>
    <row r="50" spans="1:17" x14ac:dyDescent="0.25">
      <c r="A50" s="23"/>
      <c r="B50" s="143" t="s">
        <v>170</v>
      </c>
      <c r="C50" s="21"/>
      <c r="D50" s="21"/>
      <c r="E50" s="26"/>
      <c r="F50" s="26"/>
      <c r="G50" s="26"/>
      <c r="H50" s="124"/>
      <c r="I50" s="125"/>
      <c r="J50" s="58"/>
      <c r="K50" s="31"/>
      <c r="L50" s="31"/>
      <c r="M50" s="31"/>
      <c r="N50" s="55"/>
      <c r="O50" s="2"/>
    </row>
    <row r="51" spans="1:17" s="148" customFormat="1" x14ac:dyDescent="0.25">
      <c r="A51" s="186" t="s">
        <v>22</v>
      </c>
      <c r="B51" s="187" t="s">
        <v>175</v>
      </c>
      <c r="C51" s="186">
        <v>1</v>
      </c>
      <c r="D51" s="186" t="s">
        <v>77</v>
      </c>
      <c r="E51" s="188">
        <f>(C16*(E39-30)+C17*(E40-35))*52/12+(SUM(G39:G40)-SUM(G16:G18))*0.5*52/12</f>
        <v>31113.333333333336</v>
      </c>
      <c r="F51" s="186" t="s">
        <v>62</v>
      </c>
      <c r="G51" s="188">
        <f t="shared" ref="G51:G55" si="52">C51*E51</f>
        <v>31113.333333333336</v>
      </c>
      <c r="H51" s="189"/>
      <c r="I51" s="194" t="s">
        <v>62</v>
      </c>
      <c r="J51" s="191"/>
      <c r="K51" s="188">
        <f>H51*$M$6</f>
        <v>0</v>
      </c>
      <c r="L51" s="188">
        <f>G51*$M$6</f>
        <v>373360</v>
      </c>
      <c r="M51" s="188">
        <f t="shared" ref="M51:M54" si="53">L51</f>
        <v>373360</v>
      </c>
      <c r="N51" s="197" t="s">
        <v>176</v>
      </c>
      <c r="P51" s="193"/>
    </row>
    <row r="52" spans="1:17" s="148" customFormat="1" x14ac:dyDescent="0.25">
      <c r="A52" s="186" t="s">
        <v>22</v>
      </c>
      <c r="B52" s="187" t="s">
        <v>173</v>
      </c>
      <c r="C52" s="186">
        <v>1</v>
      </c>
      <c r="D52" s="186" t="s">
        <v>77</v>
      </c>
      <c r="E52" s="188">
        <f>(SUM(G41:G48)-SUM(G19:G29))*0.25*52/12</f>
        <v>1792.164351851852</v>
      </c>
      <c r="F52" s="186" t="s">
        <v>62</v>
      </c>
      <c r="G52" s="188">
        <f t="shared" ref="G52:G53" si="54">C52*E52</f>
        <v>1792.164351851852</v>
      </c>
      <c r="H52" s="189"/>
      <c r="I52" s="194" t="s">
        <v>62</v>
      </c>
      <c r="J52" s="191"/>
      <c r="K52" s="188">
        <f>H52*$M$6</f>
        <v>0</v>
      </c>
      <c r="L52" s="188">
        <f>G52*$M$6</f>
        <v>21505.972222222223</v>
      </c>
      <c r="M52" s="188">
        <f t="shared" ref="M52:M53" si="55">L52</f>
        <v>21505.972222222223</v>
      </c>
      <c r="N52" s="197" t="s">
        <v>174</v>
      </c>
      <c r="P52" s="193"/>
    </row>
    <row r="53" spans="1:17" s="195" customFormat="1" x14ac:dyDescent="0.25">
      <c r="A53" s="186" t="s">
        <v>97</v>
      </c>
      <c r="B53" s="187" t="s">
        <v>179</v>
      </c>
      <c r="C53" s="186">
        <v>1</v>
      </c>
      <c r="D53" s="186" t="s">
        <v>77</v>
      </c>
      <c r="E53" s="188">
        <v>2000</v>
      </c>
      <c r="F53" s="186" t="s">
        <v>62</v>
      </c>
      <c r="G53" s="188">
        <f t="shared" si="54"/>
        <v>2000</v>
      </c>
      <c r="H53" s="189"/>
      <c r="I53" s="194" t="s">
        <v>62</v>
      </c>
      <c r="J53" s="191"/>
      <c r="K53" s="188">
        <f>H53*$M$6</f>
        <v>0</v>
      </c>
      <c r="L53" s="188">
        <f>G53*$M$6</f>
        <v>24000</v>
      </c>
      <c r="M53" s="188">
        <f t="shared" si="55"/>
        <v>24000</v>
      </c>
      <c r="N53" s="192"/>
      <c r="P53" s="193"/>
      <c r="Q53" s="196"/>
    </row>
    <row r="54" spans="1:17" s="195" customFormat="1" ht="30" x14ac:dyDescent="0.25">
      <c r="A54" s="186" t="s">
        <v>97</v>
      </c>
      <c r="B54" s="198" t="s">
        <v>177</v>
      </c>
      <c r="C54" s="186">
        <v>1</v>
      </c>
      <c r="D54" s="186" t="s">
        <v>77</v>
      </c>
      <c r="E54" s="188">
        <v>10000</v>
      </c>
      <c r="F54" s="186" t="s">
        <v>62</v>
      </c>
      <c r="G54" s="188">
        <f t="shared" si="52"/>
        <v>10000</v>
      </c>
      <c r="H54" s="189"/>
      <c r="I54" s="194" t="s">
        <v>62</v>
      </c>
      <c r="J54" s="191"/>
      <c r="K54" s="188">
        <f>H54*$M$6</f>
        <v>0</v>
      </c>
      <c r="L54" s="188">
        <f>G54*$M$6</f>
        <v>120000</v>
      </c>
      <c r="M54" s="188">
        <f t="shared" si="53"/>
        <v>120000</v>
      </c>
      <c r="N54" s="192"/>
      <c r="P54" s="193"/>
      <c r="Q54" s="196"/>
    </row>
    <row r="55" spans="1:17" s="148" customFormat="1" x14ac:dyDescent="0.25">
      <c r="A55" s="186" t="s">
        <v>98</v>
      </c>
      <c r="B55" s="187" t="s">
        <v>178</v>
      </c>
      <c r="C55" s="186">
        <v>1</v>
      </c>
      <c r="D55" s="186" t="s">
        <v>77</v>
      </c>
      <c r="E55" s="188">
        <v>10000</v>
      </c>
      <c r="F55" s="186" t="s">
        <v>62</v>
      </c>
      <c r="G55" s="188">
        <f t="shared" si="52"/>
        <v>10000</v>
      </c>
      <c r="H55" s="189"/>
      <c r="I55" s="194" t="s">
        <v>62</v>
      </c>
      <c r="J55" s="191"/>
      <c r="K55" s="188">
        <f>H55*$M$6</f>
        <v>0</v>
      </c>
      <c r="L55" s="188">
        <v>0</v>
      </c>
      <c r="M55" s="188">
        <f>G55*$M$6</f>
        <v>120000</v>
      </c>
      <c r="N55" s="192"/>
      <c r="Q55" s="193"/>
    </row>
    <row r="56" spans="1:17" s="11" customFormat="1" x14ac:dyDescent="0.25">
      <c r="A56" s="87"/>
      <c r="B56" s="9"/>
      <c r="C56" s="73"/>
      <c r="D56" s="58"/>
      <c r="E56" s="33"/>
      <c r="F56" s="87"/>
      <c r="G56" s="59"/>
      <c r="H56" s="130"/>
      <c r="I56" s="135"/>
      <c r="J56" s="87"/>
      <c r="K56" s="59"/>
      <c r="L56" s="59"/>
      <c r="M56" s="59"/>
      <c r="N56" s="52"/>
    </row>
    <row r="57" spans="1:17" s="7" customFormat="1" x14ac:dyDescent="0.25">
      <c r="A57" s="27" t="s">
        <v>12</v>
      </c>
      <c r="B57" s="155" t="s">
        <v>0</v>
      </c>
      <c r="C57" s="155"/>
      <c r="D57" s="155"/>
      <c r="E57" s="155"/>
      <c r="F57" s="155"/>
      <c r="G57" s="32"/>
      <c r="H57" s="131">
        <f>SUM(H38:H56)</f>
        <v>81509.999999999985</v>
      </c>
      <c r="I57" s="132" t="s">
        <v>62</v>
      </c>
      <c r="J57" s="8"/>
      <c r="K57" s="32">
        <f>SUM(K38:K56)</f>
        <v>978120</v>
      </c>
      <c r="L57" s="32">
        <f>SUM(L38:L56)</f>
        <v>1516985.9722222222</v>
      </c>
      <c r="M57" s="32">
        <f>SUM(M38:M56)</f>
        <v>1636985.9722222222</v>
      </c>
      <c r="N57" s="56"/>
    </row>
    <row r="58" spans="1:17" x14ac:dyDescent="0.25">
      <c r="H58" s="136"/>
      <c r="I58" s="137"/>
      <c r="J58" s="10"/>
    </row>
    <row r="59" spans="1:17" ht="18.75" x14ac:dyDescent="0.25">
      <c r="A59" s="156" t="s">
        <v>42</v>
      </c>
      <c r="B59" s="156"/>
      <c r="C59" s="156"/>
      <c r="D59" s="156"/>
      <c r="E59" s="156"/>
      <c r="F59" s="156"/>
      <c r="G59" s="156"/>
      <c r="H59" s="173" t="s">
        <v>161</v>
      </c>
      <c r="I59" s="174"/>
      <c r="J59" s="10"/>
      <c r="K59" s="35" t="s">
        <v>49</v>
      </c>
      <c r="L59" s="35" t="s">
        <v>48</v>
      </c>
      <c r="M59" s="35" t="s">
        <v>50</v>
      </c>
      <c r="N59" s="53"/>
    </row>
    <row r="60" spans="1:17" x14ac:dyDescent="0.25">
      <c r="A60" s="8" t="s">
        <v>7</v>
      </c>
      <c r="B60" s="176" t="s">
        <v>24</v>
      </c>
      <c r="C60" s="176"/>
      <c r="D60" s="176"/>
      <c r="E60" s="176"/>
      <c r="F60" s="176"/>
      <c r="G60" s="33"/>
      <c r="H60" s="126">
        <f>H34</f>
        <v>62938.009259259255</v>
      </c>
      <c r="I60" s="127" t="s">
        <v>62</v>
      </c>
      <c r="J60" s="10"/>
      <c r="K60" s="33">
        <f>K34</f>
        <v>755256.11111111112</v>
      </c>
      <c r="L60" s="33">
        <f>L34</f>
        <v>757656.11111111112</v>
      </c>
      <c r="M60" s="33">
        <f>M34</f>
        <v>757656.11111111112</v>
      </c>
    </row>
    <row r="61" spans="1:17" x14ac:dyDescent="0.25">
      <c r="A61" s="8" t="s">
        <v>12</v>
      </c>
      <c r="B61" s="176" t="s">
        <v>43</v>
      </c>
      <c r="C61" s="176"/>
      <c r="D61" s="176"/>
      <c r="E61" s="176"/>
      <c r="F61" s="176"/>
      <c r="G61" s="33"/>
      <c r="H61" s="126">
        <f>H57</f>
        <v>81509.999999999985</v>
      </c>
      <c r="I61" s="127" t="s">
        <v>62</v>
      </c>
      <c r="J61" s="10"/>
      <c r="K61" s="33">
        <f>K57</f>
        <v>978120</v>
      </c>
      <c r="L61" s="33">
        <f>L57</f>
        <v>1516985.9722222222</v>
      </c>
      <c r="M61" s="33">
        <f>M57</f>
        <v>1636985.9722222222</v>
      </c>
    </row>
    <row r="62" spans="1:17" s="7" customFormat="1" x14ac:dyDescent="0.25">
      <c r="A62" s="22"/>
      <c r="B62" s="175" t="s">
        <v>59</v>
      </c>
      <c r="C62" s="175"/>
      <c r="D62" s="175"/>
      <c r="E62" s="175"/>
      <c r="F62" s="175"/>
      <c r="G62" s="32"/>
      <c r="H62" s="131">
        <f>H61-H60</f>
        <v>18571.99074074073</v>
      </c>
      <c r="I62" s="132" t="s">
        <v>62</v>
      </c>
      <c r="J62" s="8"/>
      <c r="K62" s="32">
        <f>K61-K60</f>
        <v>222863.88888888888</v>
      </c>
      <c r="L62" s="32">
        <f>L61-L60</f>
        <v>759329.86111111112</v>
      </c>
      <c r="M62" s="32">
        <f>M61-M60</f>
        <v>879329.86111111112</v>
      </c>
      <c r="N62" s="56"/>
    </row>
    <row r="63" spans="1:17" x14ac:dyDescent="0.25">
      <c r="A63" s="43" t="s">
        <v>9</v>
      </c>
      <c r="B63" s="177" t="s">
        <v>25</v>
      </c>
      <c r="C63" s="177"/>
      <c r="D63" s="177"/>
      <c r="E63" s="177"/>
      <c r="F63" s="177"/>
      <c r="G63" s="44"/>
      <c r="H63" s="138"/>
      <c r="I63" s="139"/>
      <c r="J63" s="10"/>
      <c r="K63" s="33"/>
      <c r="L63" s="44">
        <f>+'Info general'!H22</f>
        <v>11735</v>
      </c>
      <c r="M63" s="44">
        <f>L63</f>
        <v>11735</v>
      </c>
      <c r="N63" s="57"/>
    </row>
    <row r="64" spans="1:17" s="7" customFormat="1" ht="15.75" thickBot="1" x14ac:dyDescent="0.3">
      <c r="A64" s="22"/>
      <c r="B64" s="175" t="s">
        <v>60</v>
      </c>
      <c r="C64" s="175"/>
      <c r="D64" s="175"/>
      <c r="E64" s="175"/>
      <c r="F64" s="175"/>
      <c r="G64" s="32"/>
      <c r="H64" s="140">
        <f>H62-H63</f>
        <v>18571.99074074073</v>
      </c>
      <c r="I64" s="141" t="s">
        <v>62</v>
      </c>
      <c r="J64" s="8"/>
      <c r="K64" s="32">
        <f>K62-K63</f>
        <v>222863.88888888888</v>
      </c>
      <c r="L64" s="32">
        <f t="shared" ref="L64:M64" si="56">L62-L63</f>
        <v>747594.86111111112</v>
      </c>
      <c r="M64" s="32">
        <f t="shared" si="56"/>
        <v>867594.86111111112</v>
      </c>
      <c r="N64" s="56"/>
    </row>
    <row r="65" spans="1:16" x14ac:dyDescent="0.25">
      <c r="J65" s="10"/>
    </row>
    <row r="66" spans="1:16" ht="15.75" thickBot="1" x14ac:dyDescent="0.3">
      <c r="J66" s="10"/>
    </row>
    <row r="67" spans="1:16" s="206" customFormat="1" ht="15.75" x14ac:dyDescent="0.25">
      <c r="A67" s="199" t="s">
        <v>181</v>
      </c>
      <c r="B67" s="200"/>
      <c r="C67" s="200"/>
      <c r="D67" s="200"/>
      <c r="E67" s="200"/>
      <c r="F67" s="200"/>
      <c r="G67" s="200"/>
      <c r="H67" s="199" t="s">
        <v>72</v>
      </c>
      <c r="I67" s="201"/>
      <c r="J67" s="202"/>
      <c r="K67" s="203" t="s">
        <v>49</v>
      </c>
      <c r="L67" s="204" t="s">
        <v>48</v>
      </c>
      <c r="M67" s="205" t="s">
        <v>50</v>
      </c>
      <c r="N67" s="52"/>
    </row>
    <row r="68" spans="1:16" x14ac:dyDescent="0.25">
      <c r="A68" s="207" t="s">
        <v>9</v>
      </c>
      <c r="B68" s="208" t="s">
        <v>182</v>
      </c>
      <c r="C68" s="208"/>
      <c r="D68" s="208"/>
      <c r="E68" s="208"/>
      <c r="F68" s="208"/>
      <c r="G68" s="209"/>
      <c r="H68" s="210"/>
      <c r="I68" s="211"/>
      <c r="J68" s="212"/>
      <c r="K68" s="210">
        <f>+'Info general'!F22</f>
        <v>65350</v>
      </c>
      <c r="L68" s="209">
        <f>+'Info general'!F29</f>
        <v>13500</v>
      </c>
      <c r="M68" s="211"/>
    </row>
    <row r="69" spans="1:16" x14ac:dyDescent="0.25">
      <c r="A69" s="207" t="s">
        <v>9</v>
      </c>
      <c r="B69" s="208" t="s">
        <v>25</v>
      </c>
      <c r="C69" s="208"/>
      <c r="D69" s="208"/>
      <c r="E69" s="208"/>
      <c r="F69" s="208"/>
      <c r="G69" s="209"/>
      <c r="H69" s="210"/>
      <c r="I69" s="211"/>
      <c r="J69" s="212"/>
      <c r="K69" s="210"/>
      <c r="L69" s="209">
        <f>+'Info general'!H22</f>
        <v>11735</v>
      </c>
      <c r="M69" s="211">
        <f>+'Info general'!H22+'Info general'!H29</f>
        <v>13085</v>
      </c>
      <c r="P69" s="46"/>
    </row>
    <row r="70" spans="1:16" x14ac:dyDescent="0.25">
      <c r="A70" s="207" t="s">
        <v>7</v>
      </c>
      <c r="B70" s="208" t="s">
        <v>183</v>
      </c>
      <c r="C70" s="208"/>
      <c r="D70" s="208"/>
      <c r="E70" s="208"/>
      <c r="F70" s="208"/>
      <c r="G70" s="209"/>
      <c r="H70" s="210">
        <f>+SUM(H11:H13)+H32</f>
        <v>1250</v>
      </c>
      <c r="I70" s="211" t="s">
        <v>62</v>
      </c>
      <c r="J70" s="212"/>
      <c r="K70" s="210">
        <f t="shared" ref="K70:M70" si="57">+SUM(K11:K13)+K32</f>
        <v>15000</v>
      </c>
      <c r="L70" s="209">
        <f t="shared" si="57"/>
        <v>17400</v>
      </c>
      <c r="M70" s="211">
        <f t="shared" si="57"/>
        <v>17400</v>
      </c>
      <c r="P70" s="46"/>
    </row>
    <row r="71" spans="1:16" x14ac:dyDescent="0.25">
      <c r="A71" s="207" t="s">
        <v>7</v>
      </c>
      <c r="B71" s="208" t="s">
        <v>184</v>
      </c>
      <c r="C71" s="208"/>
      <c r="D71" s="208"/>
      <c r="E71" s="208"/>
      <c r="F71" s="208"/>
      <c r="G71" s="209"/>
      <c r="H71" s="210">
        <f>+H34-H70</f>
        <v>61688.009259259255</v>
      </c>
      <c r="I71" s="211" t="s">
        <v>62</v>
      </c>
      <c r="J71" s="212"/>
      <c r="K71" s="210">
        <f t="shared" ref="K71:M71" si="58">+K34-K70</f>
        <v>740256.11111111112</v>
      </c>
      <c r="L71" s="209">
        <f t="shared" si="58"/>
        <v>740256.11111111112</v>
      </c>
      <c r="M71" s="211">
        <f t="shared" si="58"/>
        <v>740256.11111111112</v>
      </c>
      <c r="P71" s="46"/>
    </row>
    <row r="72" spans="1:16" x14ac:dyDescent="0.25">
      <c r="A72" s="207" t="s">
        <v>12</v>
      </c>
      <c r="B72" s="208" t="s">
        <v>185</v>
      </c>
      <c r="C72" s="208"/>
      <c r="D72" s="208"/>
      <c r="E72" s="208"/>
      <c r="F72" s="208"/>
      <c r="G72" s="209"/>
      <c r="H72" s="210">
        <f>+H57</f>
        <v>81509.999999999985</v>
      </c>
      <c r="I72" s="211" t="s">
        <v>62</v>
      </c>
      <c r="J72" s="212"/>
      <c r="K72" s="210">
        <f t="shared" ref="K72:M72" si="59">+K57</f>
        <v>978120</v>
      </c>
      <c r="L72" s="209">
        <f t="shared" si="59"/>
        <v>1516985.9722222222</v>
      </c>
      <c r="M72" s="211">
        <f t="shared" si="59"/>
        <v>1636985.9722222222</v>
      </c>
      <c r="P72" s="46"/>
    </row>
    <row r="73" spans="1:16" s="219" customFormat="1" ht="16.5" thickBot="1" x14ac:dyDescent="0.3">
      <c r="A73" s="213"/>
      <c r="B73" s="214" t="s">
        <v>60</v>
      </c>
      <c r="C73" s="214"/>
      <c r="D73" s="214"/>
      <c r="E73" s="214"/>
      <c r="F73" s="214"/>
      <c r="G73" s="215"/>
      <c r="H73" s="216">
        <f>H72-H71-H70</f>
        <v>18571.99074074073</v>
      </c>
      <c r="I73" s="217" t="s">
        <v>62</v>
      </c>
      <c r="J73" s="218"/>
      <c r="K73" s="216">
        <f t="shared" ref="K73" si="60">K72-K71-K70</f>
        <v>222863.88888888888</v>
      </c>
      <c r="L73" s="215">
        <f>L72-L71-L70-L69-L68</f>
        <v>734094.86111111112</v>
      </c>
      <c r="M73" s="217">
        <f>M72-M71-M70-M69-M68</f>
        <v>866244.86111111112</v>
      </c>
      <c r="N73" s="52"/>
      <c r="P73" s="220"/>
    </row>
    <row r="74" spans="1:16" x14ac:dyDescent="0.25">
      <c r="J74" s="10"/>
    </row>
    <row r="75" spans="1:16" x14ac:dyDescent="0.25">
      <c r="A75" s="11"/>
      <c r="B75" s="11"/>
      <c r="J75" s="10"/>
    </row>
    <row r="76" spans="1:16" x14ac:dyDescent="0.25">
      <c r="A76" s="11"/>
      <c r="B76" s="11"/>
      <c r="J76" s="10"/>
    </row>
    <row r="77" spans="1:16" x14ac:dyDescent="0.25">
      <c r="A77" s="11"/>
      <c r="B77" s="11"/>
      <c r="J77" s="10"/>
    </row>
    <row r="78" spans="1:16" x14ac:dyDescent="0.25">
      <c r="A78" s="11"/>
      <c r="B78" s="11"/>
      <c r="J78" s="10"/>
    </row>
    <row r="79" spans="1:16" x14ac:dyDescent="0.25">
      <c r="A79" s="11"/>
      <c r="B79" s="11"/>
      <c r="J79" s="10"/>
    </row>
    <row r="80" spans="1:16" x14ac:dyDescent="0.25">
      <c r="B80" s="11"/>
      <c r="J80" s="10"/>
    </row>
    <row r="81" spans="10:10" x14ac:dyDescent="0.25">
      <c r="J81" s="10"/>
    </row>
    <row r="82" spans="10:10" x14ac:dyDescent="0.25">
      <c r="J82" s="10"/>
    </row>
    <row r="83" spans="10:10" x14ac:dyDescent="0.25">
      <c r="J83" s="10"/>
    </row>
    <row r="84" spans="10:10" x14ac:dyDescent="0.25">
      <c r="J84" s="10"/>
    </row>
    <row r="85" spans="10:10" x14ac:dyDescent="0.25">
      <c r="J85" s="10"/>
    </row>
    <row r="86" spans="10:10" x14ac:dyDescent="0.25">
      <c r="J86" s="10"/>
    </row>
    <row r="87" spans="10:10" x14ac:dyDescent="0.25">
      <c r="J87" s="10"/>
    </row>
  </sheetData>
  <mergeCells count="24">
    <mergeCell ref="B70:F70"/>
    <mergeCell ref="B71:F71"/>
    <mergeCell ref="B72:F72"/>
    <mergeCell ref="B73:F73"/>
    <mergeCell ref="A4:M4"/>
    <mergeCell ref="A67:G67"/>
    <mergeCell ref="H67:I67"/>
    <mergeCell ref="B68:F68"/>
    <mergeCell ref="B69:F69"/>
    <mergeCell ref="A6:E6"/>
    <mergeCell ref="F6:G6"/>
    <mergeCell ref="A8:G8"/>
    <mergeCell ref="B34:F34"/>
    <mergeCell ref="A36:G36"/>
    <mergeCell ref="H8:I8"/>
    <mergeCell ref="H36:I36"/>
    <mergeCell ref="H59:I59"/>
    <mergeCell ref="B64:F64"/>
    <mergeCell ref="A59:G59"/>
    <mergeCell ref="B60:F60"/>
    <mergeCell ref="B61:F61"/>
    <mergeCell ref="B62:F62"/>
    <mergeCell ref="B63:F63"/>
    <mergeCell ref="B57:F57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100-000000000000}">
          <x14:formula1>
            <xm:f>'Info general'!$J$7:$J$15</xm:f>
          </x14:formula1>
          <xm:sqref>F6:G6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4BC904-A27E-41F1-B926-670085F3B1D8}">
  <dimension ref="A1:I78"/>
  <sheetViews>
    <sheetView zoomScale="85" zoomScaleNormal="85" workbookViewId="0">
      <selection activeCell="B16" sqref="B16"/>
    </sheetView>
  </sheetViews>
  <sheetFormatPr baseColWidth="10" defaultColWidth="10.85546875" defaultRowHeight="15" x14ac:dyDescent="0.25"/>
  <cols>
    <col min="1" max="1" width="46.5703125" style="78" customWidth="1"/>
    <col min="2" max="5" width="15.7109375" style="9" customWidth="1"/>
    <col min="6" max="6" width="31.42578125" style="60" customWidth="1"/>
    <col min="7" max="7" width="19.7109375" style="9" customWidth="1"/>
    <col min="8" max="16384" width="10.85546875" style="9"/>
  </cols>
  <sheetData>
    <row r="1" spans="1:8" ht="28.5" x14ac:dyDescent="0.25">
      <c r="A1" s="28" t="s">
        <v>137</v>
      </c>
      <c r="B1" s="5"/>
      <c r="C1" s="5"/>
      <c r="E1" s="90"/>
    </row>
    <row r="2" spans="1:8" x14ac:dyDescent="0.25">
      <c r="A2" s="1"/>
      <c r="B2" s="5"/>
      <c r="C2" s="5"/>
      <c r="E2" s="90"/>
    </row>
    <row r="3" spans="1:8" ht="18.75" x14ac:dyDescent="0.25">
      <c r="A3" s="29" t="s">
        <v>82</v>
      </c>
      <c r="E3" s="90"/>
    </row>
    <row r="4" spans="1:8" x14ac:dyDescent="0.25">
      <c r="A4" s="91"/>
      <c r="E4" s="90"/>
    </row>
    <row r="5" spans="1:8" ht="18.75" customHeight="1" x14ac:dyDescent="0.25">
      <c r="A5" s="92" t="s">
        <v>138</v>
      </c>
      <c r="B5" s="92"/>
      <c r="C5" s="92"/>
      <c r="D5" s="92"/>
      <c r="E5" s="92"/>
      <c r="F5" s="63"/>
      <c r="G5" s="39"/>
      <c r="H5" s="2"/>
    </row>
    <row r="6" spans="1:8" ht="18.75" customHeight="1" x14ac:dyDescent="0.25">
      <c r="A6" s="93"/>
      <c r="B6" s="14"/>
      <c r="C6" s="14"/>
      <c r="D6" s="14"/>
      <c r="E6" s="14"/>
      <c r="F6" s="61"/>
      <c r="G6" s="39"/>
      <c r="H6" s="2"/>
    </row>
    <row r="7" spans="1:8" ht="48" customHeight="1" x14ac:dyDescent="0.25">
      <c r="A7" s="94" t="s">
        <v>83</v>
      </c>
      <c r="B7" s="178" t="str">
        <f>'Info general'!C7</f>
        <v>Boutique de vente de poisson, légumes et autres produits frais ou congelés (boissons), avec congélateur solaire. L’activité se complémente avec l’élaboration et vente de boissons traditionnelles (jus de bissap).</v>
      </c>
      <c r="C7" s="179"/>
      <c r="D7" s="179"/>
      <c r="E7" s="179"/>
      <c r="F7" s="180"/>
      <c r="G7" s="39"/>
    </row>
    <row r="8" spans="1:8" ht="18" customHeight="1" x14ac:dyDescent="0.25">
      <c r="A8" s="94" t="s">
        <v>139</v>
      </c>
      <c r="B8" s="181" t="str">
        <f>'Info general'!C8</f>
        <v>Club de mères - Odey Enes</v>
      </c>
      <c r="C8" s="182"/>
      <c r="D8" s="182"/>
      <c r="E8" s="182"/>
      <c r="F8" s="183"/>
      <c r="G8" s="39"/>
    </row>
    <row r="9" spans="1:8" s="3" customFormat="1" x14ac:dyDescent="0.25">
      <c r="A9" s="95" t="s">
        <v>29</v>
      </c>
      <c r="B9" s="81">
        <v>85000</v>
      </c>
      <c r="C9" s="80"/>
      <c r="D9" s="82"/>
      <c r="E9" s="82"/>
      <c r="F9" s="13"/>
      <c r="G9" s="39"/>
    </row>
    <row r="10" spans="1:8" s="3" customFormat="1" ht="15.75" x14ac:dyDescent="0.25">
      <c r="A10" s="96"/>
      <c r="B10" s="83"/>
      <c r="C10" s="83"/>
      <c r="D10" s="83"/>
      <c r="E10" s="83"/>
      <c r="F10" s="83"/>
      <c r="G10" s="39"/>
    </row>
    <row r="11" spans="1:8" ht="18.75" x14ac:dyDescent="0.25">
      <c r="A11" s="97" t="s">
        <v>140</v>
      </c>
      <c r="B11" s="89"/>
      <c r="C11" s="89"/>
      <c r="D11" s="89"/>
      <c r="E11" s="89"/>
      <c r="F11" s="63"/>
      <c r="G11" s="38"/>
    </row>
    <row r="12" spans="1:8" ht="14.45" customHeight="1" x14ac:dyDescent="0.25">
      <c r="A12" s="98" t="s">
        <v>2</v>
      </c>
      <c r="B12" s="6" t="s">
        <v>41</v>
      </c>
      <c r="C12" s="6" t="s">
        <v>3</v>
      </c>
      <c r="D12" s="6" t="s">
        <v>141</v>
      </c>
      <c r="E12" s="6" t="s">
        <v>142</v>
      </c>
      <c r="F12" s="99" t="s">
        <v>143</v>
      </c>
    </row>
    <row r="13" spans="1:8" x14ac:dyDescent="0.25">
      <c r="A13" s="78" t="str">
        <f>'Info general'!B16</f>
        <v>Thermo pour le transport de poisson (22-24l)</v>
      </c>
      <c r="B13" s="90">
        <f>'Info general'!C16</f>
        <v>2</v>
      </c>
      <c r="C13" s="90" t="s">
        <v>84</v>
      </c>
      <c r="D13" s="33">
        <f>'Info general'!E16</f>
        <v>2200</v>
      </c>
      <c r="E13" s="33">
        <f t="shared" ref="E13:E17" si="0">B13*D13</f>
        <v>4400</v>
      </c>
      <c r="F13" s="86" t="s">
        <v>144</v>
      </c>
    </row>
    <row r="14" spans="1:8" x14ac:dyDescent="0.25">
      <c r="A14" s="78" t="str">
        <f>'Info general'!B17</f>
        <v>Amenagement boutique (étageres, nattes)</v>
      </c>
      <c r="B14" s="90">
        <f>'Info general'!C17</f>
        <v>1</v>
      </c>
      <c r="C14" s="90" t="s">
        <v>84</v>
      </c>
      <c r="D14" s="33">
        <f>'Info general'!E17</f>
        <v>3100</v>
      </c>
      <c r="E14" s="33">
        <f t="shared" si="0"/>
        <v>3100</v>
      </c>
      <c r="F14" s="86" t="s">
        <v>144</v>
      </c>
    </row>
    <row r="15" spans="1:8" ht="30" x14ac:dyDescent="0.25">
      <c r="A15" s="78" t="str">
        <f>'Info general'!B18</f>
        <v>Equipment (balance, equipemet production bissap, bassins, etc.)</v>
      </c>
      <c r="B15" s="90">
        <f>'Info general'!C18</f>
        <v>1</v>
      </c>
      <c r="C15" s="90" t="s">
        <v>84</v>
      </c>
      <c r="D15" s="33">
        <f>'Info general'!E18</f>
        <v>1850</v>
      </c>
      <c r="E15" s="33">
        <f t="shared" si="0"/>
        <v>1850</v>
      </c>
      <c r="F15" s="86" t="s">
        <v>144</v>
      </c>
    </row>
    <row r="16" spans="1:8" ht="30" x14ac:dyDescent="0.25">
      <c r="A16" s="78" t="str">
        <f>'Info general'!B19</f>
        <v>Congelateur solaire 208 litres, avec panneaux, installation et transport</v>
      </c>
      <c r="B16" s="90">
        <f>'Info general'!C19</f>
        <v>1</v>
      </c>
      <c r="C16" s="90" t="s">
        <v>84</v>
      </c>
      <c r="D16" s="33">
        <f>'Info general'!E19</f>
        <v>54000</v>
      </c>
      <c r="E16" s="33">
        <f t="shared" si="0"/>
        <v>54000</v>
      </c>
      <c r="F16" s="86" t="s">
        <v>144</v>
      </c>
    </row>
    <row r="17" spans="1:7" ht="30" x14ac:dyDescent="0.25">
      <c r="A17" s="78" t="str">
        <f>'Info general'!B20</f>
        <v>Forfait demarrage (transport materiels, visites fournisseurs, etc.)</v>
      </c>
      <c r="B17" s="90">
        <f>'Info general'!C20</f>
        <v>1</v>
      </c>
      <c r="C17" s="90" t="s">
        <v>84</v>
      </c>
      <c r="D17" s="33">
        <f>'Info general'!E20</f>
        <v>2000</v>
      </c>
      <c r="E17" s="33">
        <f t="shared" si="0"/>
        <v>2000</v>
      </c>
      <c r="F17" s="86" t="s">
        <v>144</v>
      </c>
    </row>
    <row r="18" spans="1:7" x14ac:dyDescent="0.25">
      <c r="A18" s="100"/>
      <c r="B18" s="58"/>
      <c r="C18" s="90"/>
      <c r="D18" s="33"/>
      <c r="E18" s="33"/>
      <c r="F18" s="52"/>
      <c r="G18" s="2"/>
    </row>
    <row r="19" spans="1:7" s="105" customFormat="1" ht="15.75" x14ac:dyDescent="0.25">
      <c r="A19" s="101" t="s">
        <v>145</v>
      </c>
      <c r="B19" s="102"/>
      <c r="C19" s="102"/>
      <c r="D19" s="102"/>
      <c r="E19" s="103">
        <f>SUM(E13:E18)</f>
        <v>65350</v>
      </c>
      <c r="F19" s="104" t="s">
        <v>62</v>
      </c>
    </row>
    <row r="20" spans="1:7" s="84" customFormat="1" x14ac:dyDescent="0.25">
      <c r="A20" s="106"/>
      <c r="B20" s="90"/>
      <c r="D20" s="107"/>
      <c r="E20" s="107"/>
      <c r="F20" s="108"/>
    </row>
    <row r="21" spans="1:7" ht="18.75" x14ac:dyDescent="0.25">
      <c r="A21" s="97" t="s">
        <v>146</v>
      </c>
      <c r="B21" s="89"/>
      <c r="C21" s="89"/>
      <c r="D21" s="89"/>
      <c r="E21" s="89"/>
      <c r="F21" s="63"/>
      <c r="G21" s="38"/>
    </row>
    <row r="22" spans="1:7" ht="14.45" customHeight="1" x14ac:dyDescent="0.25">
      <c r="A22" s="98" t="s">
        <v>26</v>
      </c>
      <c r="B22" s="6" t="s">
        <v>41</v>
      </c>
      <c r="C22" s="6" t="s">
        <v>3</v>
      </c>
      <c r="D22" s="6" t="s">
        <v>141</v>
      </c>
      <c r="E22" s="6" t="s">
        <v>142</v>
      </c>
      <c r="F22" s="99" t="s">
        <v>143</v>
      </c>
    </row>
    <row r="23" spans="1:7" x14ac:dyDescent="0.25">
      <c r="A23" s="109" t="s">
        <v>5</v>
      </c>
      <c r="B23" s="21"/>
      <c r="C23" s="21"/>
      <c r="D23" s="26"/>
      <c r="E23" s="110">
        <f>SUM(E24:E24)</f>
        <v>1000</v>
      </c>
      <c r="F23" s="111" t="s">
        <v>85</v>
      </c>
      <c r="G23" s="2"/>
    </row>
    <row r="24" spans="1:7" x14ac:dyDescent="0.25">
      <c r="A24" s="78" t="str">
        <f>'Plan economique (PAS)'!B11</f>
        <v>Location boutique</v>
      </c>
      <c r="B24" s="90">
        <f>'Plan economique (PAS)'!C11</f>
        <v>1</v>
      </c>
      <c r="C24" s="90" t="str">
        <f>'Plan economique (PAS)'!D11</f>
        <v>loyer</v>
      </c>
      <c r="D24" s="33">
        <f>'Plan economique (PAS)'!E11</f>
        <v>1000</v>
      </c>
      <c r="E24" s="33">
        <f>B24*D24</f>
        <v>1000</v>
      </c>
      <c r="F24" s="86" t="s">
        <v>85</v>
      </c>
    </row>
    <row r="25" spans="1:7" x14ac:dyDescent="0.25">
      <c r="B25" s="90"/>
      <c r="C25" s="90"/>
      <c r="D25" s="33"/>
      <c r="E25" s="33"/>
      <c r="F25" s="52"/>
      <c r="G25" s="82"/>
    </row>
    <row r="26" spans="1:7" x14ac:dyDescent="0.25">
      <c r="A26" s="24" t="s">
        <v>147</v>
      </c>
      <c r="B26" s="21"/>
      <c r="C26" s="21"/>
      <c r="D26" s="26"/>
      <c r="E26" s="110">
        <f>SUM(E27:E30)</f>
        <v>8520</v>
      </c>
      <c r="F26" s="112" t="s">
        <v>86</v>
      </c>
    </row>
    <row r="27" spans="1:7" x14ac:dyDescent="0.25">
      <c r="A27" s="78" t="str">
        <f>'Plan economique (PAS)'!B16</f>
        <v>Poisson</v>
      </c>
      <c r="B27" s="90">
        <f>'Plan economique (PAS)'!C16</f>
        <v>88</v>
      </c>
      <c r="C27" s="90" t="str">
        <f>'Plan economique (PAS)'!D16</f>
        <v>kg</v>
      </c>
      <c r="D27" s="33">
        <f>'Plan economique (PAS)'!E16</f>
        <v>50</v>
      </c>
      <c r="E27" s="33">
        <f>B27*D27</f>
        <v>4400</v>
      </c>
      <c r="F27" s="86" t="s">
        <v>86</v>
      </c>
    </row>
    <row r="28" spans="1:7" x14ac:dyDescent="0.25">
      <c r="A28" s="78" t="str">
        <f>'Plan economique (PAS)'!B17</f>
        <v>Légumes Thiebouyen</v>
      </c>
      <c r="B28" s="90">
        <f>'Plan economique (PAS)'!C17</f>
        <v>88</v>
      </c>
      <c r="C28" s="90" t="str">
        <f>'Plan economique (PAS)'!D17</f>
        <v>kg</v>
      </c>
      <c r="D28" s="33">
        <f>'Plan economique (PAS)'!E17</f>
        <v>40</v>
      </c>
      <c r="E28" s="33">
        <f>B28*D28</f>
        <v>3520</v>
      </c>
      <c r="F28" s="86" t="s">
        <v>86</v>
      </c>
    </row>
    <row r="29" spans="1:7" x14ac:dyDescent="0.25">
      <c r="A29" s="78" t="str">
        <f>'Plan economique (PAS)'!B18</f>
        <v>Transport poisson</v>
      </c>
      <c r="B29" s="90">
        <f>'Plan economique (PAS)'!C18</f>
        <v>2</v>
      </c>
      <c r="C29" s="90" t="str">
        <f>'Plan economique (PAS)'!D18</f>
        <v>transport</v>
      </c>
      <c r="D29" s="33">
        <f>'Plan economique (PAS)'!E18</f>
        <v>300</v>
      </c>
      <c r="E29" s="33">
        <f>B29*D29</f>
        <v>600</v>
      </c>
      <c r="F29" s="86" t="s">
        <v>86</v>
      </c>
    </row>
    <row r="30" spans="1:7" x14ac:dyDescent="0.25">
      <c r="B30" s="90"/>
      <c r="C30" s="90"/>
      <c r="D30" s="33"/>
      <c r="E30" s="33"/>
      <c r="F30" s="86"/>
    </row>
    <row r="31" spans="1:7" x14ac:dyDescent="0.25">
      <c r="A31" s="24" t="s">
        <v>152</v>
      </c>
      <c r="B31" s="21"/>
      <c r="C31" s="21"/>
      <c r="D31" s="26"/>
      <c r="E31" s="110">
        <f>SUM(E32:E34)</f>
        <v>490</v>
      </c>
      <c r="F31" s="112" t="s">
        <v>157</v>
      </c>
    </row>
    <row r="32" spans="1:7" x14ac:dyDescent="0.25">
      <c r="A32" s="78" t="str">
        <f>'Plan economique (PAS)'!B26</f>
        <v>Bissap - 1 kg fleur bissap</v>
      </c>
      <c r="B32" s="90">
        <f>'Plan economique (PAS)'!C26*2</f>
        <v>2</v>
      </c>
      <c r="C32" s="90" t="str">
        <f>'Plan economique (PAS)'!D26</f>
        <v>kg</v>
      </c>
      <c r="D32" s="33">
        <f>'Plan economique (PAS)'!E26</f>
        <v>120</v>
      </c>
      <c r="E32" s="33">
        <f>B32*D32</f>
        <v>240</v>
      </c>
      <c r="F32" s="86" t="s">
        <v>158</v>
      </c>
    </row>
    <row r="33" spans="1:6" x14ac:dyDescent="0.25">
      <c r="A33" s="78" t="str">
        <f>'Plan economique (PAS)'!B27</f>
        <v>Bissap - sucre</v>
      </c>
      <c r="B33" s="90">
        <f>'Plan economique (PAS)'!C27*2</f>
        <v>2</v>
      </c>
      <c r="C33" s="90" t="str">
        <f>'Plan economique (PAS)'!D27</f>
        <v>5 kg</v>
      </c>
      <c r="D33" s="33">
        <f>'Plan economique (PAS)'!E27</f>
        <v>125</v>
      </c>
      <c r="E33" s="33">
        <f>B33*D33</f>
        <v>250</v>
      </c>
      <c r="F33" s="86" t="s">
        <v>158</v>
      </c>
    </row>
    <row r="34" spans="1:6" x14ac:dyDescent="0.25">
      <c r="B34" s="90"/>
      <c r="C34" s="90"/>
      <c r="D34" s="33"/>
      <c r="E34" s="33"/>
      <c r="F34" s="86"/>
    </row>
    <row r="35" spans="1:6" x14ac:dyDescent="0.25">
      <c r="A35" s="24" t="s">
        <v>156</v>
      </c>
      <c r="B35" s="21"/>
      <c r="C35" s="21"/>
      <c r="D35" s="26"/>
      <c r="E35" s="110">
        <f>SUM(E36:E43)</f>
        <v>9320</v>
      </c>
      <c r="F35" s="112" t="s">
        <v>159</v>
      </c>
    </row>
    <row r="36" spans="1:6" x14ac:dyDescent="0.25">
      <c r="A36" s="78" t="str">
        <f>'Plan economique (PAS)'!B19</f>
        <v>Boisson - eau</v>
      </c>
      <c r="B36" s="90">
        <f>'Plan economique (PAS)'!C19*2</f>
        <v>48</v>
      </c>
      <c r="C36" s="90" t="str">
        <f>'Plan economique (PAS)'!D19</f>
        <v>unités</v>
      </c>
      <c r="D36" s="33">
        <f>'Plan economique (PAS)'!E19</f>
        <v>8.3333333333333339</v>
      </c>
      <c r="E36" s="33">
        <f t="shared" ref="E36:E41" si="1">B36*D36</f>
        <v>400</v>
      </c>
      <c r="F36" s="86" t="s">
        <v>159</v>
      </c>
    </row>
    <row r="37" spans="1:6" x14ac:dyDescent="0.25">
      <c r="A37" s="78" t="str">
        <f>'Plan economique (PAS)'!B20</f>
        <v>Boisson - canettes</v>
      </c>
      <c r="B37" s="90">
        <v>120</v>
      </c>
      <c r="C37" s="90" t="str">
        <f>'Plan economique (PAS)'!D20</f>
        <v>unités</v>
      </c>
      <c r="D37" s="33">
        <f>'Plan economique (PAS)'!E20</f>
        <v>10.416666666666666</v>
      </c>
      <c r="E37" s="33">
        <f t="shared" si="1"/>
        <v>1250</v>
      </c>
      <c r="F37" s="86" t="s">
        <v>159</v>
      </c>
    </row>
    <row r="38" spans="1:6" x14ac:dyDescent="0.25">
      <c r="A38" s="78" t="str">
        <f>'Plan economique (PAS)'!B21</f>
        <v>Boisson - lait</v>
      </c>
      <c r="B38" s="90">
        <f>27*4</f>
        <v>108</v>
      </c>
      <c r="C38" s="90" t="str">
        <f>'Plan economique (PAS)'!D21</f>
        <v>unités</v>
      </c>
      <c r="D38" s="33">
        <f>'Plan economique (PAS)'!E21</f>
        <v>12.222222222222221</v>
      </c>
      <c r="E38" s="33">
        <f t="shared" si="1"/>
        <v>1320</v>
      </c>
      <c r="F38" s="86" t="s">
        <v>159</v>
      </c>
    </row>
    <row r="39" spans="1:6" x14ac:dyDescent="0.25">
      <c r="A39" s="78" t="str">
        <f>'Plan economique (PAS)'!B22</f>
        <v>Boisson - yaourt</v>
      </c>
      <c r="B39" s="90">
        <f>24*5</f>
        <v>120</v>
      </c>
      <c r="C39" s="90" t="str">
        <f>'Plan economique (PAS)'!D22</f>
        <v>unités</v>
      </c>
      <c r="D39" s="33">
        <f>'Plan economique (PAS)'!E22</f>
        <v>10</v>
      </c>
      <c r="E39" s="33">
        <f t="shared" si="1"/>
        <v>1200</v>
      </c>
      <c r="F39" s="86" t="s">
        <v>159</v>
      </c>
    </row>
    <row r="40" spans="1:6" x14ac:dyDescent="0.25">
      <c r="A40" s="78" t="str">
        <f>'Plan economique (PAS)'!B23</f>
        <v>Boisson - erraib</v>
      </c>
      <c r="B40" s="90">
        <f>24*5</f>
        <v>120</v>
      </c>
      <c r="C40" s="90" t="str">
        <f>'Plan economique (PAS)'!D23</f>
        <v>unités</v>
      </c>
      <c r="D40" s="33">
        <f>'Plan economique (PAS)'!E23</f>
        <v>15</v>
      </c>
      <c r="E40" s="33">
        <f t="shared" si="1"/>
        <v>1800</v>
      </c>
      <c r="F40" s="86" t="s">
        <v>159</v>
      </c>
    </row>
    <row r="41" spans="1:6" x14ac:dyDescent="0.25">
      <c r="A41" s="78" t="str">
        <f>'Plan economique (PAS)'!B24</f>
        <v>Boisson - rani</v>
      </c>
      <c r="B41" s="90">
        <f>24*3</f>
        <v>72</v>
      </c>
      <c r="C41" s="90" t="str">
        <f>'Plan economique (PAS)'!D24</f>
        <v>unités</v>
      </c>
      <c r="D41" s="33">
        <f>'Plan economique (PAS)'!E24</f>
        <v>14.583333333333334</v>
      </c>
      <c r="E41" s="33">
        <f t="shared" si="1"/>
        <v>1050</v>
      </c>
      <c r="F41" s="86" t="s">
        <v>159</v>
      </c>
    </row>
    <row r="42" spans="1:6" x14ac:dyDescent="0.25">
      <c r="A42" s="78" t="str">
        <f>'Plan economique (PAS)'!B28</f>
        <v>Crédit téléphonique</v>
      </c>
      <c r="B42" s="90">
        <v>1</v>
      </c>
      <c r="C42" s="90" t="str">
        <f>'Plan economique (PAS)'!D28</f>
        <v>forfait</v>
      </c>
      <c r="D42" s="33">
        <v>1500</v>
      </c>
      <c r="E42" s="33">
        <f t="shared" ref="E42" si="2">B42*D42</f>
        <v>1500</v>
      </c>
      <c r="F42" s="86" t="s">
        <v>159</v>
      </c>
    </row>
    <row r="43" spans="1:6" x14ac:dyDescent="0.25">
      <c r="A43" s="78" t="str">
        <f>'Plan economique (PAS)'!B25</f>
        <v>Transport autres produits</v>
      </c>
      <c r="B43" s="90">
        <v>1</v>
      </c>
      <c r="C43" s="90" t="str">
        <f>'Plan economique (PAS)'!D25</f>
        <v>transport</v>
      </c>
      <c r="D43" s="33">
        <f>'Plan economique (PAS)'!E25*2</f>
        <v>800</v>
      </c>
      <c r="E43" s="33">
        <f t="shared" ref="E43" si="3">B43*D43</f>
        <v>800</v>
      </c>
      <c r="F43" s="86" t="s">
        <v>159</v>
      </c>
    </row>
    <row r="44" spans="1:6" x14ac:dyDescent="0.25">
      <c r="B44" s="90"/>
      <c r="C44" s="90"/>
      <c r="D44" s="33"/>
      <c r="E44" s="33"/>
      <c r="F44" s="86"/>
    </row>
    <row r="45" spans="1:6" x14ac:dyDescent="0.25">
      <c r="B45" s="90"/>
      <c r="C45" s="90"/>
      <c r="D45" s="33"/>
      <c r="E45" s="33"/>
      <c r="F45" s="86"/>
    </row>
    <row r="46" spans="1:6" x14ac:dyDescent="0.25">
      <c r="A46" s="24" t="s">
        <v>148</v>
      </c>
      <c r="B46" s="21"/>
      <c r="C46" s="21"/>
      <c r="D46" s="26"/>
      <c r="E46" s="110">
        <f>E47</f>
        <v>320</v>
      </c>
      <c r="F46" s="112"/>
    </row>
    <row r="47" spans="1:6" s="11" customFormat="1" x14ac:dyDescent="0.25">
      <c r="A47" s="78" t="s">
        <v>149</v>
      </c>
      <c r="B47" s="90">
        <v>1</v>
      </c>
      <c r="C47" s="90" t="s">
        <v>77</v>
      </c>
      <c r="D47" s="33">
        <v>320</v>
      </c>
      <c r="E47" s="33">
        <f t="shared" ref="E47" si="4">B47*D47</f>
        <v>320</v>
      </c>
      <c r="F47" s="86"/>
    </row>
    <row r="48" spans="1:6" x14ac:dyDescent="0.25">
      <c r="B48" s="90"/>
      <c r="C48" s="90"/>
      <c r="D48" s="33"/>
      <c r="E48" s="33"/>
      <c r="F48" s="52"/>
    </row>
    <row r="49" spans="1:9" s="105" customFormat="1" ht="15.75" x14ac:dyDescent="0.25">
      <c r="A49" s="101" t="s">
        <v>150</v>
      </c>
      <c r="B49" s="102"/>
      <c r="C49" s="102"/>
      <c r="D49" s="102"/>
      <c r="E49" s="103">
        <f>E26+E23+E46+E31+E35</f>
        <v>19650</v>
      </c>
      <c r="F49" s="104"/>
    </row>
    <row r="50" spans="1:9" x14ac:dyDescent="0.25">
      <c r="A50" s="113"/>
      <c r="B50" s="3"/>
      <c r="C50" s="3"/>
      <c r="D50" s="3"/>
      <c r="G50" s="48"/>
      <c r="I50" s="49"/>
    </row>
    <row r="51" spans="1:9" ht="18.75" x14ac:dyDescent="0.25">
      <c r="A51" s="92" t="s">
        <v>63</v>
      </c>
      <c r="B51" s="92"/>
      <c r="C51" s="92"/>
      <c r="D51" s="92"/>
      <c r="E51" s="92"/>
      <c r="F51" s="92" t="s">
        <v>143</v>
      </c>
      <c r="G51" s="2"/>
      <c r="I51" s="49"/>
    </row>
    <row r="52" spans="1:9" x14ac:dyDescent="0.25">
      <c r="A52" s="114" t="str">
        <f>A19</f>
        <v>Total Investissement AGR couvert</v>
      </c>
      <c r="B52" s="114"/>
      <c r="C52" s="114"/>
      <c r="D52" s="114"/>
      <c r="E52" s="114">
        <f>E19</f>
        <v>65350</v>
      </c>
      <c r="F52" s="115" t="s">
        <v>144</v>
      </c>
      <c r="G52" s="48"/>
    </row>
    <row r="53" spans="1:9" x14ac:dyDescent="0.25">
      <c r="A53" s="114" t="str">
        <f>A23</f>
        <v>Coûts fixes</v>
      </c>
      <c r="B53" s="114"/>
      <c r="C53" s="114"/>
      <c r="D53" s="114"/>
      <c r="E53" s="116">
        <f>E23</f>
        <v>1000</v>
      </c>
      <c r="F53" s="115" t="s">
        <v>85</v>
      </c>
    </row>
    <row r="54" spans="1:9" s="78" customFormat="1" x14ac:dyDescent="0.25">
      <c r="A54" s="114" t="str">
        <f>A26</f>
        <v>Coûts variables. Vente de poisson, légumes et poulets, cycle hebdomadaire</v>
      </c>
      <c r="B54" s="114"/>
      <c r="C54" s="114"/>
      <c r="D54" s="114"/>
      <c r="E54" s="116">
        <f>E26</f>
        <v>8520</v>
      </c>
      <c r="F54" s="115" t="s">
        <v>86</v>
      </c>
    </row>
    <row r="55" spans="1:9" s="78" customFormat="1" x14ac:dyDescent="0.25">
      <c r="A55" s="114" t="str">
        <f>A35</f>
        <v>Coûts variables. Vente de boissons et crédit téléphonique, cycle hebdomadaire</v>
      </c>
      <c r="B55" s="114"/>
      <c r="C55" s="114"/>
      <c r="D55" s="114"/>
      <c r="E55" s="116">
        <f>E35</f>
        <v>9320</v>
      </c>
      <c r="F55" s="115" t="s">
        <v>160</v>
      </c>
    </row>
    <row r="56" spans="1:9" s="78" customFormat="1" x14ac:dyDescent="0.25">
      <c r="A56" s="114" t="str">
        <f>A31</f>
        <v>Coûts variables. Elaboration de jus de bissap (20 litres), cycle hebdomadaire</v>
      </c>
      <c r="B56" s="114"/>
      <c r="C56" s="114"/>
      <c r="D56" s="114"/>
      <c r="E56" s="116">
        <f>E31</f>
        <v>490</v>
      </c>
      <c r="F56" s="115" t="s">
        <v>159</v>
      </c>
    </row>
    <row r="57" spans="1:9" s="78" customFormat="1" x14ac:dyDescent="0.25">
      <c r="A57" s="114" t="str">
        <f>A46</f>
        <v>Autres</v>
      </c>
      <c r="B57" s="114"/>
      <c r="C57" s="114"/>
      <c r="D57" s="114"/>
      <c r="E57" s="116">
        <f t="shared" ref="E57" si="5">E46</f>
        <v>320</v>
      </c>
      <c r="F57" s="115" t="s">
        <v>86</v>
      </c>
    </row>
    <row r="58" spans="1:9" s="78" customFormat="1" x14ac:dyDescent="0.25">
      <c r="A58" s="114"/>
      <c r="B58" s="114"/>
      <c r="C58" s="114"/>
      <c r="D58" s="114"/>
      <c r="E58" s="116"/>
      <c r="F58" s="117"/>
    </row>
    <row r="59" spans="1:9" s="105" customFormat="1" ht="15.75" x14ac:dyDescent="0.25">
      <c r="A59" s="101" t="s">
        <v>151</v>
      </c>
      <c r="B59" s="102"/>
      <c r="C59" s="102"/>
      <c r="D59" s="102"/>
      <c r="E59" s="103">
        <f>SUM(E52:E58)</f>
        <v>85000</v>
      </c>
      <c r="F59" s="104"/>
    </row>
    <row r="60" spans="1:9" x14ac:dyDescent="0.25">
      <c r="E60" s="46"/>
      <c r="F60" s="118"/>
    </row>
    <row r="62" spans="1:9" x14ac:dyDescent="0.25">
      <c r="A62" s="49"/>
      <c r="B62" s="49"/>
    </row>
    <row r="64" spans="1:9" x14ac:dyDescent="0.25">
      <c r="A64" s="49"/>
    </row>
    <row r="73" spans="1:1" x14ac:dyDescent="0.25">
      <c r="A73" s="100"/>
    </row>
    <row r="74" spans="1:1" x14ac:dyDescent="0.25">
      <c r="A74" s="100"/>
    </row>
    <row r="75" spans="1:1" x14ac:dyDescent="0.25">
      <c r="A75" s="100"/>
    </row>
    <row r="76" spans="1:1" x14ac:dyDescent="0.25">
      <c r="A76" s="100"/>
    </row>
    <row r="77" spans="1:1" x14ac:dyDescent="0.25">
      <c r="A77" s="100"/>
    </row>
    <row r="78" spans="1:1" x14ac:dyDescent="0.25">
      <c r="A78" s="100"/>
    </row>
  </sheetData>
  <mergeCells count="2">
    <mergeCell ref="B7:F7"/>
    <mergeCell ref="B8:F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Info general</vt:lpstr>
      <vt:lpstr>Plan economique (PAS)</vt:lpstr>
      <vt:lpstr>Apport CRM</vt:lpstr>
      <vt:lpstr>'Info general'!Área_de_impresión</vt:lpstr>
      <vt:lpstr>'Plan economique (PAS)'!Área_de_impresión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Pilar</dc:creator>
  <cp:lastModifiedBy>Gema Arranz</cp:lastModifiedBy>
  <cp:lastPrinted>2021-01-26T18:06:18Z</cp:lastPrinted>
  <dcterms:created xsi:type="dcterms:W3CDTF">2020-07-27T11:11:56Z</dcterms:created>
  <dcterms:modified xsi:type="dcterms:W3CDTF">2021-07-07T12:21:23Z</dcterms:modified>
</cp:coreProperties>
</file>